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53"/>
  </bookViews>
  <sheets>
    <sheet name="附表1收入调整表2024" sheetId="14" r:id="rId1"/>
    <sheet name="附表2财力调整表2024" sheetId="13" r:id="rId2"/>
    <sheet name="附表3公共预算项目调整表" sheetId="17" r:id="rId3"/>
    <sheet name="附表4公共预算支出调整表" sheetId="15" r:id="rId4"/>
    <sheet name="附表5政府性基金项目调整表" sheetId="18" r:id="rId5"/>
    <sheet name="附表6政府性基金支出调整表" sheetId="16" r:id="rId6"/>
    <sheet name="附表7债券资金" sheetId="19" r:id="rId7"/>
  </sheets>
  <definedNames>
    <definedName name="_xlnm._FilterDatabase" localSheetId="1" hidden="1">附表2财力调整表2024!$A$4:$T$87</definedName>
    <definedName name="_xlnm._FilterDatabase" localSheetId="6" hidden="1">附表7债券资金!$A$3:$XFA$91</definedName>
    <definedName name="_xlnm.Print_Area" localSheetId="0">附表1收入调整表2024!$A$1:$M$60</definedName>
    <definedName name="_xlnm.Print_Area" localSheetId="1">附表2财力调整表2024!$A$1:$N$87</definedName>
    <definedName name="_xlnm.Print_Area" localSheetId="2">附表3公共预算项目调整表!$A$1:$I$282</definedName>
    <definedName name="_xlnm.Print_Area" localSheetId="3">附表4公共预算支出调整表!$A$1:$AF$29</definedName>
    <definedName name="_xlnm.Print_Area" localSheetId="4">附表5政府性基金项目调整表!$A$1:$I$273</definedName>
    <definedName name="_xlnm.Print_Area" localSheetId="5">附表6政府性基金支出调整表!$A$1:$AI$16</definedName>
    <definedName name="_xlnm.Print_Titles" localSheetId="0">附表1收入调整表2024!$1:$4</definedName>
    <definedName name="_xlnm.Print_Titles" localSheetId="1">附表2财力调整表2024!$1:$4</definedName>
    <definedName name="_xlnm.Print_Titles" localSheetId="2">附表3公共预算项目调整表!$1:$5</definedName>
    <definedName name="_xlnm.Print_Titles" localSheetId="4">附表5政府性基金项目调整表!$1:$5</definedName>
    <definedName name="_xlnm.Print_Titles" localSheetId="6">附表7债券资金!$1:$3</definedName>
    <definedName name="_xlnm.Print_Area" localSheetId="6">附表7债券资金!$A$1:$D$91</definedName>
  </definedNames>
  <calcPr calcId="144525"/>
</workbook>
</file>

<file path=xl/comments1.xml><?xml version="1.0" encoding="utf-8"?>
<comments xmlns="http://schemas.openxmlformats.org/spreadsheetml/2006/main">
  <authors>
    <author>ih</author>
  </authors>
  <commentList>
    <comment ref="F58" authorId="0">
      <text>
        <r>
          <rPr>
            <b/>
            <sz val="9"/>
            <rFont val="宋体"/>
            <charset val="134"/>
          </rPr>
          <t>ih:</t>
        </r>
        <r>
          <rPr>
            <sz val="9"/>
            <rFont val="宋体"/>
            <charset val="134"/>
          </rPr>
          <t xml:space="preserve">
体彩1900，福彩600</t>
        </r>
      </text>
    </comment>
  </commentList>
</comments>
</file>

<file path=xl/comments2.xml><?xml version="1.0" encoding="utf-8"?>
<comments xmlns="http://schemas.openxmlformats.org/spreadsheetml/2006/main">
  <authors>
    <author>ih</author>
    <author>Administrator</author>
  </authors>
  <commentList>
    <comment ref="C57" authorId="0">
      <text>
        <r>
          <rPr>
            <b/>
            <sz val="9"/>
            <rFont val="宋体"/>
            <charset val="134"/>
          </rPr>
          <t>ih:</t>
        </r>
        <r>
          <rPr>
            <sz val="9"/>
            <rFont val="宋体"/>
            <charset val="134"/>
          </rPr>
          <t xml:space="preserve">
《关于上划各县（市）区生态环境局相关经费支出基数的通知》（榕财预〔2019〕82号）3514万元</t>
        </r>
      </text>
    </comment>
    <comment ref="F57" authorId="0">
      <text>
        <r>
          <rPr>
            <b/>
            <sz val="9"/>
            <rFont val="宋体"/>
            <charset val="134"/>
          </rPr>
          <t>ih:</t>
        </r>
        <r>
          <rPr>
            <sz val="9"/>
            <rFont val="宋体"/>
            <charset val="134"/>
          </rPr>
          <t xml:space="preserve">
《关于上划各县（市）区生态环境局相关经费支出基数的通知》（榕财预〔2019〕82号）3514万元</t>
        </r>
      </text>
    </comment>
    <comment ref="C78" authorId="0">
      <text>
        <r>
          <rPr>
            <b/>
            <sz val="9"/>
            <rFont val="宋体"/>
            <charset val="134"/>
          </rPr>
          <t>ih:</t>
        </r>
        <r>
          <rPr>
            <sz val="9"/>
            <rFont val="宋体"/>
            <charset val="134"/>
          </rPr>
          <t xml:space="preserve">
一般公共预算收入的千分2上解</t>
        </r>
      </text>
    </comment>
    <comment ref="F78" authorId="0">
      <text>
        <r>
          <rPr>
            <b/>
            <sz val="9"/>
            <rFont val="宋体"/>
            <charset val="134"/>
          </rPr>
          <t>ih:</t>
        </r>
        <r>
          <rPr>
            <sz val="9"/>
            <rFont val="宋体"/>
            <charset val="134"/>
          </rPr>
          <t xml:space="preserve">
一般公共预算收入的千分2上解</t>
        </r>
      </text>
    </comment>
    <comment ref="F84" authorId="1">
      <text>
        <r>
          <rPr>
            <b/>
            <sz val="9"/>
            <rFont val="宋体"/>
            <charset val="134"/>
          </rPr>
          <t>Administrator:</t>
        </r>
        <r>
          <rPr>
            <sz val="9"/>
            <rFont val="宋体"/>
            <charset val="134"/>
          </rPr>
          <t xml:space="preserve">
再融资26580万元，一般债18516万元。</t>
        </r>
      </text>
    </comment>
  </commentList>
</comments>
</file>

<file path=xl/comments3.xml><?xml version="1.0" encoding="utf-8"?>
<comments xmlns="http://schemas.openxmlformats.org/spreadsheetml/2006/main">
  <authors>
    <author>null,null,预算经办</author>
  </authors>
  <commentList>
    <comment ref="H14" authorId="0">
      <text>
        <r>
          <rPr>
            <b/>
            <sz val="9"/>
            <rFont val="宋体"/>
            <charset val="134"/>
          </rPr>
          <t>迈新生物、真兰水表、博思软件上解支出。</t>
        </r>
      </text>
    </comment>
  </commentList>
</comments>
</file>

<file path=xl/sharedStrings.xml><?xml version="1.0" encoding="utf-8"?>
<sst xmlns="http://schemas.openxmlformats.org/spreadsheetml/2006/main" count="1135" uniqueCount="659">
  <si>
    <t>附表1：2024年分部门分税种财政收入预算调整情况表</t>
  </si>
  <si>
    <t>编制单位：闽侯县财政局</t>
  </si>
  <si>
    <t>编制日期：2024年12月</t>
  </si>
  <si>
    <t>单位：万元</t>
  </si>
  <si>
    <t>征收部门</t>
  </si>
  <si>
    <t>2024人大年初任务数</t>
  </si>
  <si>
    <t>2024年预计完成数</t>
  </si>
  <si>
    <t>增减额</t>
  </si>
  <si>
    <t>增幅%</t>
  </si>
  <si>
    <t>小计</t>
  </si>
  <si>
    <t>闽侯县</t>
  </si>
  <si>
    <t>高新区</t>
  </si>
  <si>
    <t>一、财政总收入(含基金)</t>
  </si>
  <si>
    <t>（一）一般公共预算总收入</t>
  </si>
  <si>
    <t>1、上划中央收入</t>
  </si>
  <si>
    <t>2、一般公共预算收入</t>
  </si>
  <si>
    <t>（1）税收收入</t>
  </si>
  <si>
    <t>（2）非税收入</t>
  </si>
  <si>
    <t>（二）基金收入</t>
  </si>
  <si>
    <t>二、税务局组织收入</t>
  </si>
  <si>
    <t>（一）增值税</t>
  </si>
  <si>
    <t>其中：国内增值税</t>
  </si>
  <si>
    <t xml:space="preserve">      东南汽车</t>
  </si>
  <si>
    <t xml:space="preserve">      奔驰汽车</t>
  </si>
  <si>
    <t>（二）消费税</t>
  </si>
  <si>
    <t>（三）企业所得税</t>
  </si>
  <si>
    <t>（四）个人所得税</t>
  </si>
  <si>
    <t>（五）资源税</t>
  </si>
  <si>
    <t>（六）城市维护建设税</t>
  </si>
  <si>
    <t>（七）房产税</t>
  </si>
  <si>
    <t>（八）印花税</t>
  </si>
  <si>
    <t>（九）城镇土地使用税</t>
  </si>
  <si>
    <t>（十）土地增值税</t>
  </si>
  <si>
    <t>（十一）车船税</t>
  </si>
  <si>
    <t>（十二）耕地占用税</t>
  </si>
  <si>
    <t>（十三）契税</t>
  </si>
  <si>
    <t>(十四）环境保护税</t>
  </si>
  <si>
    <t>（十五）车辆购置税</t>
  </si>
  <si>
    <t>三、财政局组织收入</t>
  </si>
  <si>
    <t>（一）行政性事业性收费收入</t>
  </si>
  <si>
    <t>（二）罚没收入</t>
  </si>
  <si>
    <t>（三）专项收入</t>
  </si>
  <si>
    <t xml:space="preserve"> 其中： 教育费附加收入</t>
  </si>
  <si>
    <t xml:space="preserve">      残疾人就业保障金收入</t>
  </si>
  <si>
    <t xml:space="preserve">     教育资金收入</t>
  </si>
  <si>
    <t xml:space="preserve">     农田水利建设资金收入</t>
  </si>
  <si>
    <t xml:space="preserve">     森林植被恢复费收入</t>
  </si>
  <si>
    <t xml:space="preserve">     水利建设专项收入</t>
  </si>
  <si>
    <t xml:space="preserve">    其他专项收入</t>
  </si>
  <si>
    <t>（四）国有资本经营收入</t>
  </si>
  <si>
    <t>（五）国有资源（资产）有偿使用收入</t>
  </si>
  <si>
    <t xml:space="preserve"> (六) 捐赠收入</t>
  </si>
  <si>
    <t xml:space="preserve"> (七） 政府住房基金收入</t>
  </si>
  <si>
    <t>（八）其他收入</t>
  </si>
  <si>
    <t>四、其它增值税退税</t>
  </si>
  <si>
    <t>五、基金收入</t>
  </si>
  <si>
    <t>（一）土地基金收入</t>
  </si>
  <si>
    <t xml:space="preserve">    1、国有土地使用权出让收入</t>
  </si>
  <si>
    <t xml:space="preserve">    2、国有土地基金收益收入</t>
  </si>
  <si>
    <t xml:space="preserve">    3、农业土地开发资金收入</t>
  </si>
  <si>
    <t>（二）其他基金收入</t>
  </si>
  <si>
    <t xml:space="preserve">    1、城市基础设施配套费收入</t>
  </si>
  <si>
    <t xml:space="preserve">    2、彩票公益金收入</t>
  </si>
  <si>
    <t xml:space="preserve">    3、污水处理费收入</t>
  </si>
  <si>
    <t xml:space="preserve">    4、专项债务对应项目专项收入</t>
  </si>
  <si>
    <t>附表2：2024年一般公共预算财力情况调整表</t>
  </si>
  <si>
    <t xml:space="preserve">编制单位：闽侯县财政局   </t>
  </si>
  <si>
    <t>项目</t>
  </si>
  <si>
    <t>2024年计划数</t>
  </si>
  <si>
    <t>比年初计划增减数</t>
  </si>
  <si>
    <t>财力性质</t>
  </si>
  <si>
    <t>一、一般公共预算收入</t>
  </si>
  <si>
    <t>二、上级补助收入</t>
  </si>
  <si>
    <t>（一）返还性收入</t>
  </si>
  <si>
    <t xml:space="preserve">   1、增值税和消费税税收返还收入</t>
  </si>
  <si>
    <t>财力</t>
  </si>
  <si>
    <t xml:space="preserve">   2、所得税基数返还收入</t>
  </si>
  <si>
    <t xml:space="preserve">   3、成品油价格和税费改革税收返还收入</t>
  </si>
  <si>
    <t xml:space="preserve">   4、增值税“五五分享”税收返还</t>
  </si>
  <si>
    <t>（二）一般性转移支付补助收入</t>
  </si>
  <si>
    <t>1、体制补助收入</t>
  </si>
  <si>
    <t>-</t>
  </si>
  <si>
    <t>2、均衡性转移支付收入</t>
  </si>
  <si>
    <t xml:space="preserve"> （1）调整工资转移支付收入</t>
  </si>
  <si>
    <t xml:space="preserve"> （2）县乡中小学教师津补贴转移支付</t>
  </si>
  <si>
    <t xml:space="preserve"> （3）机关事业单位调整工资和养老保险制度改革转移支付资金</t>
  </si>
  <si>
    <t xml:space="preserve"> （4）农业转移人口市民化奖励资金</t>
  </si>
  <si>
    <t>3、县级基本财力保障机制奖补资金收入</t>
  </si>
  <si>
    <t xml:space="preserve"> （1）原“六挂六奖”补助基数（闽财预［2014］40号）</t>
  </si>
  <si>
    <t xml:space="preserve"> （2）省对市县财政下移财力及加强绩效管理奖励</t>
  </si>
  <si>
    <t>4、结算补助收入</t>
  </si>
  <si>
    <t xml:space="preserve"> （1）县（市）烟草公司收入转移补助</t>
  </si>
  <si>
    <t xml:space="preserve"> （2）公共体育场馆、博物馆、纪念馆等免费开放补助资金</t>
  </si>
  <si>
    <t>专项</t>
  </si>
  <si>
    <t xml:space="preserve"> （3）提高村主干及两委成员报酬市级补助</t>
  </si>
  <si>
    <t xml:space="preserve"> （4）生态保护转移支付资金(榕财预指201910号)</t>
  </si>
  <si>
    <t xml:space="preserve"> （5）公共租赁住房建设补充资金</t>
  </si>
  <si>
    <t xml:space="preserve"> （6）其他结算补助转移支付资金</t>
  </si>
  <si>
    <t>5、革命老区及民族和边境地区转移支付</t>
  </si>
  <si>
    <t>6.巩固脱贫攻坚成果衔接乡村振兴转移支付支出</t>
  </si>
  <si>
    <t>7、一般公共服务共同财政事权转移支付收入</t>
  </si>
  <si>
    <t>8、公共安全共同财政事权转移支付收入</t>
  </si>
  <si>
    <t>9、教育共同财政事权转移支付收入</t>
  </si>
  <si>
    <t>10、科学技术共同财政事权转移支付收入</t>
  </si>
  <si>
    <t>11、文化旅游体育与传媒共同财政事权转移支付收入</t>
  </si>
  <si>
    <t>12、社会保障和就业共同财政事权转移支付收入</t>
  </si>
  <si>
    <t>13、卫生健康共同财政事权转移支付收入</t>
  </si>
  <si>
    <t>14、节能环保共同财政事权转移支付收入</t>
  </si>
  <si>
    <t>15、农林水共同财政事权转移支付收入</t>
  </si>
  <si>
    <t>16、交通运输共同财政事权转移支付收入</t>
  </si>
  <si>
    <t>17、自然资源海洋气象等共同财政事权转移支付收入</t>
  </si>
  <si>
    <t>18、住房保障共同财政事权转移支付收入</t>
  </si>
  <si>
    <t>19、灾害防治及应急管理共同财政事权转移支付支出</t>
  </si>
  <si>
    <t>20、增值税留抵退税转移支付收入（闽财预指〔2022〕5号、闽财预指〔2022〕17号）</t>
  </si>
  <si>
    <t>21、其他退税减税降费转移支付收入（闽财预指〔2022〕5号、闽财预指〔2022〕9号）</t>
  </si>
  <si>
    <t>22、补充县区转移支付收入（闽财预指〔2022〕9号）</t>
  </si>
  <si>
    <t>23、其他一般性转移支付收入</t>
  </si>
  <si>
    <t xml:space="preserve">      村级组织运转经费</t>
  </si>
  <si>
    <t xml:space="preserve">      生猪调出大县奖励资金</t>
  </si>
  <si>
    <t xml:space="preserve">      农村公益电影场次补贴</t>
  </si>
  <si>
    <t xml:space="preserve">      社区居委会运转补助</t>
  </si>
  <si>
    <t xml:space="preserve">      农村税费改革转移支付</t>
  </si>
  <si>
    <t xml:space="preserve">      国有农场农村税费改革转移支付</t>
  </si>
  <si>
    <t xml:space="preserve">      农村“五大员”、计生协会长、妇代会主任、团支部书记津贴转移支付</t>
  </si>
  <si>
    <t xml:space="preserve">      其他一般性转移支付收入</t>
  </si>
  <si>
    <t>三、上解省市支出</t>
  </si>
  <si>
    <t>（一）体制上解</t>
  </si>
  <si>
    <t>（二）专项上解</t>
  </si>
  <si>
    <t>(1)上解津补贴调节基金</t>
  </si>
  <si>
    <t>(2)上解2020年-2023年河道采砂收益</t>
  </si>
  <si>
    <t>(3)重点流域水环境综合整治资金专项上解</t>
  </si>
  <si>
    <t>(4)江河下游对上游地区森林生态效益补偿上解</t>
  </si>
  <si>
    <t>(5)中央、省财政统筹计提农田水利建设资金</t>
  </si>
  <si>
    <t>(6)福州市对口援藏资金（榕财建 2021 137号）</t>
  </si>
  <si>
    <t>(7)上解精准扶贫医疗叠加保险资金</t>
  </si>
  <si>
    <t>(8)福州市对口援疆资金（榕财建2021 142号）</t>
  </si>
  <si>
    <t>(9)农村商信用社企业所得税省级分成部分上解（20%）</t>
  </si>
  <si>
    <t>（10）东南汽车增值税50%地方级部份上解（省37.573%，市8.192%，合计45.765%）</t>
  </si>
  <si>
    <t>（11）部分政法行政性收费和罚没收入上解</t>
  </si>
  <si>
    <t>（12）城市商业银行企业所得税省级分成部分上解</t>
  </si>
  <si>
    <t>（13）上划国防领域相关支出预算（闽财政法【2021】14号）</t>
  </si>
  <si>
    <t>（14）迁入企业税收基数划转（软件园F区、G区税收财力结算）</t>
  </si>
  <si>
    <t>（15）税务部门经费基数划转</t>
  </si>
  <si>
    <t>（16）城乡居民基本医疗保险</t>
  </si>
  <si>
    <t>（17）闽江师专办学经费</t>
  </si>
  <si>
    <t>（18）上缴就业调剂金(闽财社〔2022〕40号)</t>
  </si>
  <si>
    <t>（19）可再生能源电价附加增值税返还资金地方扣款（闽财建〔2023〕5号）</t>
  </si>
  <si>
    <t>（20）关于上解2023年衔接推进乡村振兴有关资金的通知（闽财农〔2023〕23号）</t>
  </si>
  <si>
    <t>（21）扣缴2023年农村人居环境整治积分制奖惩激励资金</t>
  </si>
  <si>
    <t>四、债务还本支出</t>
  </si>
  <si>
    <t>五、援助宁夏支出</t>
  </si>
  <si>
    <t>六、调入国有资本预算资金（30%）</t>
  </si>
  <si>
    <t>七、动用预算稳定调节基金</t>
  </si>
  <si>
    <t>八、地方政府债券转贷收入及再融资债券</t>
  </si>
  <si>
    <t>九、调入资金</t>
  </si>
  <si>
    <t>十、调出资金</t>
  </si>
  <si>
    <t>十一、当年实现财力</t>
  </si>
  <si>
    <t>附表3：2024年公共预算项目调整支出情况表</t>
  </si>
  <si>
    <t>项目编号</t>
  </si>
  <si>
    <t>项 目 内 容</t>
  </si>
  <si>
    <t>2024年          预算数</t>
  </si>
  <si>
    <t>全年预计支出数</t>
  </si>
  <si>
    <t>指标
结余数</t>
  </si>
  <si>
    <t>拟调整
使用指标</t>
  </si>
  <si>
    <t>备注</t>
  </si>
  <si>
    <t>截止11月          已下达数</t>
  </si>
  <si>
    <t>预计至年底    还需下达数</t>
  </si>
  <si>
    <t>合   计</t>
  </si>
  <si>
    <t>一</t>
  </si>
  <si>
    <t>拟调减支出项目小计</t>
  </si>
  <si>
    <t>(一)闽侯县财政局</t>
  </si>
  <si>
    <t>人防项目费用</t>
  </si>
  <si>
    <t>县委大院变压器增容配电工程</t>
  </si>
  <si>
    <t>文化中心租赁费</t>
  </si>
  <si>
    <t>两违办费用</t>
  </si>
  <si>
    <t>2024年第五次全国经济普查县级工作经费</t>
  </si>
  <si>
    <t>统计调查经费</t>
  </si>
  <si>
    <t>专项业务费（审核费）</t>
  </si>
  <si>
    <t>“五大投”注册资本金</t>
  </si>
  <si>
    <t>组织事务经费</t>
  </si>
  <si>
    <t>人才发展基金</t>
  </si>
  <si>
    <t>公务员局经费</t>
  </si>
  <si>
    <t xml:space="preserve"> 宣传活动经费</t>
  </si>
  <si>
    <t>崇贤馆陈列项目</t>
  </si>
  <si>
    <t>全国文明城市创建工作经费</t>
  </si>
  <si>
    <t>文化活动经费</t>
  </si>
  <si>
    <t>建设公共安全视频监控建设联网应用建设经费</t>
  </si>
  <si>
    <t>铁路沿线视频监控经费</t>
  </si>
  <si>
    <t>知识产权专项资金</t>
  </si>
  <si>
    <t>追加党员政治生活馆建设资金</t>
  </si>
  <si>
    <t>县委党校行政学校新校区及各类布置费</t>
  </si>
  <si>
    <t>党校办学工作经费</t>
  </si>
  <si>
    <t>群文工作经费</t>
  </si>
  <si>
    <t>全国公共文化服务体系示范区创新发展建设及全域生态示范县创建经费</t>
  </si>
  <si>
    <t>县昙石山遗址保护中心代预算经费</t>
  </si>
  <si>
    <t>全民健身体育设施建设和提升</t>
  </si>
  <si>
    <t>群众文化活动经费（商品和服务支出）</t>
  </si>
  <si>
    <t>不可移动文物保护管理经费</t>
  </si>
  <si>
    <t>博物馆日常管理等业务经费</t>
  </si>
  <si>
    <t>博物馆演播厅建设款</t>
  </si>
  <si>
    <t>图书馆业务工作经费</t>
  </si>
  <si>
    <t>少体校学生伙食、训练经费</t>
  </si>
  <si>
    <t>福州市26届戏剧会演经费</t>
  </si>
  <si>
    <t>文化惠民下乡及创作、宣传工作经费</t>
  </si>
  <si>
    <t>福建省29届戏剧会演经费</t>
  </si>
  <si>
    <t>新闻中心2024年度工作经费</t>
  </si>
  <si>
    <t>应急修复及安全隐患整治、第7-11重溪电力电信设施建设、日常公用零星维护等</t>
  </si>
  <si>
    <t>旅游发展专项资金</t>
  </si>
  <si>
    <t>创建国家食品安全示范城市抽检经费</t>
  </si>
  <si>
    <t>第三次全国土壤普查经费</t>
  </si>
  <si>
    <t>《关于调动农民种粮积极性促进粮食生产八条措施》县级配套</t>
  </si>
  <si>
    <t>山区半山区食用菌产业发展项目</t>
  </si>
  <si>
    <t>建设标准化金鱼设施养殖基地及水产良种奖励项目经费</t>
  </si>
  <si>
    <t>受污染耕地安全利用项目经费</t>
  </si>
  <si>
    <t>造福工程县级配套资金</t>
  </si>
  <si>
    <t>山海协作帮扶资金</t>
  </si>
  <si>
    <t>县级巩固拓展脱贫攻坚成果和乡村振兴有效衔接项目库</t>
  </si>
  <si>
    <t>精准扶贫应急资金</t>
  </si>
  <si>
    <t>松材线虫（22、23年结转）</t>
  </si>
  <si>
    <t>森林防火经费</t>
  </si>
  <si>
    <t>祥谦镇防火通道项目款</t>
  </si>
  <si>
    <t>林长制平台设施和改革经费</t>
  </si>
  <si>
    <t>森林保险等</t>
  </si>
  <si>
    <t>名木古树保护经费</t>
  </si>
  <si>
    <t>排涝中心下属6个闸站管理房及启闭房产权办证资金</t>
  </si>
  <si>
    <t>县级财政闽侯县气象信息LED电子显示屏升级改造项目建设经费</t>
  </si>
  <si>
    <t>闽侯县鼓励高校毕业生来县留县就业创业七条措施相关补贴</t>
  </si>
  <si>
    <t>县级就业专项资金补助</t>
  </si>
  <si>
    <t>居家养老购买服务</t>
  </si>
  <si>
    <t>农村最低生活保障及高龄补贴</t>
  </si>
  <si>
    <t>民政对象物价补贴</t>
  </si>
  <si>
    <t>残疾儿童康复训练补助</t>
  </si>
  <si>
    <t>5.12离休干部医疗费</t>
  </si>
  <si>
    <t>乡医一体化改革各类补助</t>
  </si>
  <si>
    <t>家庭奖扶</t>
  </si>
  <si>
    <t>行政事业单位干部体检费（含县处级）</t>
  </si>
  <si>
    <t>综合医院基本药物补助</t>
  </si>
  <si>
    <t>卫生人才培训费</t>
  </si>
  <si>
    <t>村所国家基本药物补助</t>
  </si>
  <si>
    <t>健康证</t>
  </si>
  <si>
    <t>基层医疗卫生基本药物补助</t>
  </si>
  <si>
    <t>乡村医生养老生活补助</t>
  </si>
  <si>
    <t>基本公共卫生服务（采购类）</t>
  </si>
  <si>
    <t>特别扶助</t>
  </si>
  <si>
    <t>部分紧缺岗位生活补助</t>
  </si>
  <si>
    <t>乡村医生企业保险</t>
  </si>
  <si>
    <t>包片入户巡查爱卫工作补助经费</t>
  </si>
  <si>
    <t>基本公共卫生服务</t>
  </si>
  <si>
    <t xml:space="preserve"> 闽侯县上街中心卫生院扩建项目基建款（统筹调剂）</t>
  </si>
  <si>
    <t>2024年第一批基本公共卫生服务项目补助经费（县级）</t>
  </si>
  <si>
    <t>2024年第二批基本公共卫生服务项目补助经费（县级）</t>
  </si>
  <si>
    <t>2024年第一批基本公共卫生服务项目补助经费（县级采购）</t>
  </si>
  <si>
    <t>往年设备购置尾款及质保金</t>
  </si>
  <si>
    <t>下达基本药物制度补助资金（县级）</t>
  </si>
  <si>
    <t>卫健系统以前年度设备款2021年设备49%尾款</t>
  </si>
  <si>
    <t>山区乡镇乡村卫生服务一体化管理</t>
  </si>
  <si>
    <t>精神病人给养费</t>
  </si>
  <si>
    <t>精神病院医疗采购</t>
  </si>
  <si>
    <t>精神病院建设采购</t>
  </si>
  <si>
    <t>优抚物价补助</t>
  </si>
  <si>
    <t>退伍军人安置费</t>
  </si>
  <si>
    <t>南通镇保安服务费</t>
  </si>
  <si>
    <t>旗山湖周边片区岐头村旧改项目A地块工作经费</t>
  </si>
  <si>
    <t>其他项目</t>
  </si>
  <si>
    <t>（二）福州市高新区财政局</t>
  </si>
  <si>
    <t>闽江师专预留</t>
  </si>
  <si>
    <t>一般公共预算综合预留</t>
  </si>
  <si>
    <t>金融专项预留</t>
  </si>
  <si>
    <t>海西园征迁指挥部马排安置房回购</t>
  </si>
  <si>
    <t>海西园指挥部新马花园回购项目</t>
  </si>
  <si>
    <t>闽侯县第三中学二期项目（原闽侯县第三中学新校门建设项目）工程款等（建发）</t>
  </si>
  <si>
    <t>一楼一中心（宗地榕高新2022-04号地块回购商务用房及地下室）（国资）</t>
  </si>
  <si>
    <t>福州高新区建平初级中学新校区（新地块）工程款等（高投）</t>
  </si>
  <si>
    <t>中梁百悦城住宅回购（宗地榕高新2019-04号地块）（国资）</t>
  </si>
  <si>
    <t>福州高新区良存华侨学校初中部新校区建设工程款等（高投）</t>
  </si>
  <si>
    <t>高新区第二小学工程款等（高投）</t>
  </si>
  <si>
    <t>南屿中学新校区工程款等（建发）</t>
  </si>
  <si>
    <t>水务市政设施改造和维护（水务）</t>
  </si>
  <si>
    <t>两园中心小学工程款等（新南）</t>
  </si>
  <si>
    <t>人员工资预留</t>
  </si>
  <si>
    <t>海西园指挥部翔龙花园回购</t>
  </si>
  <si>
    <t>引进人才专项经费</t>
  </si>
  <si>
    <t>城乡环卫专项经费</t>
  </si>
  <si>
    <t>流洲黄云涛厝保护修缮工程及周边环境整治工程（南屿镇）</t>
  </si>
  <si>
    <t>公交线路运营服务</t>
  </si>
  <si>
    <t>闽侯县第三中学（教学综合大楼、体艺馆、食堂及操场）建设项目工程款等（建发）</t>
  </si>
  <si>
    <t>高岐村幼儿园工程款等（高投）</t>
  </si>
  <si>
    <t>南井村幼儿园工程款等（高投）</t>
  </si>
  <si>
    <t>雪亮工程”500路探头建设费用</t>
  </si>
  <si>
    <t>中心共享消防站项目资金（高投）</t>
  </si>
  <si>
    <t>高新区公安分局“e体+”多维调处中心运营服务项目服务费</t>
  </si>
  <si>
    <t>“建新医院”等5个项目房屋征收劳务费</t>
  </si>
  <si>
    <t>党员政治生活馆建设经费</t>
  </si>
  <si>
    <t>养老服务设施建设及相关补助费</t>
  </si>
  <si>
    <t>学校保安经费</t>
  </si>
  <si>
    <t>乌龙江大区小学工程款等（高投）</t>
  </si>
  <si>
    <t>社区运转经费</t>
  </si>
  <si>
    <t>支持小程序软件产业发展措施补贴</t>
  </si>
  <si>
    <t>教育教学设备采购(儿童学园)</t>
  </si>
  <si>
    <t>应急广播体系建设费用</t>
  </si>
  <si>
    <t>商贸服务业奖励金</t>
  </si>
  <si>
    <t>高歧智慧河体育公园工程款等（高投）</t>
  </si>
  <si>
    <t>物流发展专项资金</t>
  </si>
  <si>
    <t>外资到资奖励金</t>
  </si>
  <si>
    <t>环卫保洁服务经费</t>
  </si>
  <si>
    <t>二</t>
  </si>
  <si>
    <t>拟调增支出项目小计</t>
  </si>
  <si>
    <t>（地铁2号线）竹岐安置房段浅埋钢管基坑设箱涵通道工程</t>
  </si>
  <si>
    <t>（福州地区）大学新校区防洪排涝体系溪源泄洪洞工程</t>
  </si>
  <si>
    <t>2023年度国资运营补贴</t>
  </si>
  <si>
    <t>安置型商品房回购款</t>
  </si>
  <si>
    <t>白沙二期路网</t>
  </si>
  <si>
    <t>被征地农民保障金</t>
  </si>
  <si>
    <t>拨付三溪口和方山水库产权登记税费</t>
  </si>
  <si>
    <t>拨付三英花园地下停车位等房产产权过户税费</t>
  </si>
  <si>
    <t>大樟溪（南通段）沿岸整治项目（江依牳）征收补偿款</t>
  </si>
  <si>
    <t>东南汽车合作项目相关资金</t>
  </si>
  <si>
    <t>东台大道延伸段道路工程项目</t>
  </si>
  <si>
    <t>福州地区大学新校区防洪排涝体系溪源泄洪洞工程</t>
  </si>
  <si>
    <t>福州市闽江下游南岸防洪六期工程</t>
  </si>
  <si>
    <t>公安局财政性投资项目</t>
  </si>
  <si>
    <t>关于县文化中心土建工程款等相关费用</t>
  </si>
  <si>
    <t>国宾路沿线城市品质提升“回头看”荆溪村段</t>
  </si>
  <si>
    <t>过渡费</t>
  </si>
  <si>
    <t>鸿尾乡大模村兑现生产生活留用地购买资产</t>
  </si>
  <si>
    <t>鸿尾园污水支管及大模村污水支管网工程</t>
  </si>
  <si>
    <t>京台高速公路出口至 115 县道公路工程</t>
  </si>
  <si>
    <t>旧城改造一期建设资金（一般公共预算）</t>
  </si>
  <si>
    <t>克姆湖环境综合整治、旧城改造三期等12个项目房屋征收实施单位劳务费（一般公共预算）</t>
  </si>
  <si>
    <t>闽侯二桥</t>
  </si>
  <si>
    <t>闽侯二桥（南互通）工程</t>
  </si>
  <si>
    <t>闽侯南通文山至祥谦兰圃村段道路拓宽改造工程</t>
  </si>
  <si>
    <t>闽侯县民兵训练基地建设项目</t>
  </si>
  <si>
    <t>闽侯县竹岐新区江滨路道路工程</t>
  </si>
  <si>
    <t>闽侯县宗地2018-11号地块商住用地商业房产剩余回购款</t>
  </si>
  <si>
    <t>闽侯县宗地2019-08号地块商住用地商业房产回购款</t>
  </si>
  <si>
    <t>闽侯一中校园扩建</t>
  </si>
  <si>
    <t>南通派出所技侦业务用房土地出让金及勘测定界费</t>
  </si>
  <si>
    <t>南通镇北环路（二期）道路工程</t>
  </si>
  <si>
    <t>南通镇党群便民服务中心改造工程项目</t>
  </si>
  <si>
    <t>南通镇罗洲南路（一期）道路工程（含三联溪一期工程））</t>
  </si>
  <si>
    <t>南通镇通洲路（二期）道路工程</t>
  </si>
  <si>
    <t>青口镇中心城扩展工程2020年旧村改造项目2号地块（莲峰村一期）等5个项目房屋征收实施单位劳务费</t>
  </si>
  <si>
    <t>青梅路（海芳塑胶制品厂段）道路工程</t>
  </si>
  <si>
    <t>上街候官大道工程</t>
  </si>
  <si>
    <t>上街旗山湖市政道路和景观桥梁</t>
  </si>
  <si>
    <t>上街实验学校医大校区建设项目</t>
  </si>
  <si>
    <t>上街镇侯官大道(上街新峰段)片区旧村更新改造项目征迁补偿资金</t>
  </si>
  <si>
    <t>上街镇侯官大道工程</t>
  </si>
  <si>
    <t>上街镇旗山湖周边片区岐头村旧改项目A地块工作经费</t>
  </si>
  <si>
    <t>省委党校周边村庄改造片区ABC地块旧改项目征迁补偿资金（2）</t>
  </si>
  <si>
    <t>溪下安置房项目</t>
  </si>
  <si>
    <t>县道112线铁岭至关中段公路提级改造工程</t>
  </si>
  <si>
    <t>向莆铁路（荆溪段）永丰安置房总平配套工程</t>
  </si>
  <si>
    <t>新南港大桥工程仲裁款</t>
  </si>
  <si>
    <t>雪亮工程</t>
  </si>
  <si>
    <t>疫情资金</t>
  </si>
  <si>
    <t>原闽侯旧汽车站（旗下花园二期）安置房项目征迁补偿费</t>
  </si>
  <si>
    <t>源通西路（国宾大道—源江路）及广贤路改造工程</t>
  </si>
  <si>
    <t>重新下达农村计生新农合补助</t>
  </si>
  <si>
    <t>竹岐乡金水湖旅游综合体等项目房屋征收补偿款</t>
  </si>
  <si>
    <t>竹岐新区6号路、7号路一期道路工程</t>
  </si>
  <si>
    <t>（二）福州市高新区</t>
  </si>
  <si>
    <t>福耀科技大学办学补助</t>
  </si>
  <si>
    <t>两节慰问经费</t>
  </si>
  <si>
    <t>教师发展中心工作经费</t>
  </si>
  <si>
    <t>2023年度未休年休假报酬</t>
  </si>
  <si>
    <t>2023年事业单位年度考核奖-编内</t>
  </si>
  <si>
    <t>购买保安服务</t>
  </si>
  <si>
    <t>新冠疫情防控资金</t>
  </si>
  <si>
    <t>国资公司认购福州农村产权刘主演服务有限公司股权项目注资</t>
  </si>
  <si>
    <t>高新区国贸学原二期1#、12#楼保障性租赁住房回购不动产权办理相关费用</t>
  </si>
  <si>
    <t>办公运转经费-行政审批局</t>
  </si>
  <si>
    <t>核酸检测费尾款</t>
  </si>
  <si>
    <t>税务局经费补助</t>
  </si>
  <si>
    <t>2024年度工会经费追加</t>
  </si>
  <si>
    <t>高新区国贸学原二期1#、12#楼保障性租赁住房回购转让相关费用</t>
  </si>
  <si>
    <t>划拨地价款及税款</t>
  </si>
  <si>
    <t>两园安置房二期（南港花园）（新南）</t>
  </si>
  <si>
    <t>高新区两园工业园区道路监控设施采购项目（道安）</t>
  </si>
  <si>
    <t>宗地榕高新2022-08号地块住宅回购款</t>
  </si>
  <si>
    <t>宗地榕高新2022-08号地块商业用房回购（国资）</t>
  </si>
  <si>
    <t>宗地榕高新2022-08号地块地下室回购（国资）</t>
  </si>
  <si>
    <t>翔龙花园15#楼配套用房（商业）不动产权证办理相关费用</t>
  </si>
  <si>
    <t>大学城污水厂2023年5月至12月污水处理服务费及污泥处置费</t>
  </si>
  <si>
    <t>公交成本规制补贴资金</t>
  </si>
  <si>
    <t>媒体合作经费</t>
  </si>
  <si>
    <t>创新馆场地租赁费</t>
  </si>
  <si>
    <t>国资公司投资福州瓷生科技有限公司股权项目注资</t>
  </si>
  <si>
    <t>聘用人员绩效奖及岗位补贴</t>
  </si>
  <si>
    <t>购买指标费</t>
  </si>
  <si>
    <t>翔龙花园15#楼配套用房（商业）不动产权证办理相关费用-税费</t>
  </si>
  <si>
    <t>海峡金控注册资本金(投资海峡新质产业投资基金)</t>
  </si>
  <si>
    <t>两园安置房二期（南港花园）工程项目（新南）</t>
  </si>
  <si>
    <t>基本公共卫生服务项目区级配套资金</t>
  </si>
  <si>
    <t>公安分局办公经费</t>
  </si>
  <si>
    <t>2022-2023年度高新区标准化项目奖励金</t>
  </si>
  <si>
    <t>2021年和2022年高新区扶持自主知识产权配套奖励</t>
  </si>
  <si>
    <t>基本公共卫生服务项目区级配套</t>
  </si>
  <si>
    <t>翔龙花园12#楼2-21层安置房不动产权办理相关费用</t>
  </si>
  <si>
    <t>科创金融服务基地1-3层2024年度租金</t>
  </si>
  <si>
    <t>积分制区级配套等奖补资金</t>
  </si>
  <si>
    <t>海峡金控补贴款(科创金融服务基地设备采购项目)</t>
  </si>
  <si>
    <t>海峡金融注册资本金</t>
  </si>
  <si>
    <t>新南公司资本金</t>
  </si>
  <si>
    <t>21-24年市级扣缴支出</t>
  </si>
  <si>
    <t>国资公司资本金</t>
  </si>
  <si>
    <t>南屿镇税收收入分成</t>
  </si>
  <si>
    <t>生物医疗企业补贴</t>
  </si>
  <si>
    <t>招商优惠政策补贴</t>
  </si>
  <si>
    <t>科技类政策补贴</t>
  </si>
  <si>
    <t>附表4：2024年公共财政预算支出调整情况表</t>
  </si>
  <si>
    <t>类编码</t>
  </si>
  <si>
    <t>类科目</t>
  </si>
  <si>
    <t>年初         预算数</t>
  </si>
  <si>
    <t>其中</t>
  </si>
  <si>
    <t>转移支付计入财力调整</t>
  </si>
  <si>
    <t>动用        预备费</t>
  </si>
  <si>
    <t>超短收安排</t>
  </si>
  <si>
    <t>调入基金</t>
  </si>
  <si>
    <t>调入稳定调节基金</t>
  </si>
  <si>
    <t>地方政府债券转贷资金</t>
  </si>
  <si>
    <t>外债转贷资金</t>
  </si>
  <si>
    <t>科目调剂</t>
  </si>
  <si>
    <t>调整后   支出数</t>
  </si>
  <si>
    <t>一般公共服务</t>
  </si>
  <si>
    <t>国防</t>
  </si>
  <si>
    <t>公共安全</t>
  </si>
  <si>
    <t>教育</t>
  </si>
  <si>
    <t>科学技术</t>
  </si>
  <si>
    <t>文化体育与传媒</t>
  </si>
  <si>
    <t>社会保障和就业</t>
  </si>
  <si>
    <t>卫生健康支出</t>
  </si>
  <si>
    <t>节能环保</t>
  </si>
  <si>
    <t>城乡社区事务</t>
  </si>
  <si>
    <t>农林水事务</t>
  </si>
  <si>
    <t>交通运输</t>
  </si>
  <si>
    <t>资源勘探信息等</t>
  </si>
  <si>
    <t>商业服务业等</t>
  </si>
  <si>
    <t>金融支出</t>
  </si>
  <si>
    <t>援助其他地区</t>
  </si>
  <si>
    <t>自然资源海洋气象等</t>
  </si>
  <si>
    <t>住房保障</t>
  </si>
  <si>
    <t>粮油物资储备</t>
  </si>
  <si>
    <t>灾害防治及应急管理</t>
  </si>
  <si>
    <t>预备费</t>
  </si>
  <si>
    <t>其他支出</t>
  </si>
  <si>
    <t>债务付息</t>
  </si>
  <si>
    <t>债务发行费用</t>
  </si>
  <si>
    <t>附表5：2024年政府性基金预算项目调整支出情况表</t>
  </si>
  <si>
    <t>2023年          预算数</t>
  </si>
  <si>
    <t>(一)闽侯县</t>
  </si>
  <si>
    <t>雪亮工程（二期）</t>
  </si>
  <si>
    <t>教学仪器和电化设备购置</t>
  </si>
  <si>
    <t>乡村振兴战略项目经费</t>
  </si>
  <si>
    <t>县级农业基础设施建设项目经费</t>
  </si>
  <si>
    <t>闽侯县排水设运营维护</t>
  </si>
  <si>
    <t>福州地区大学新校区旗山湖工程</t>
  </si>
  <si>
    <t>卫健系统设备</t>
  </si>
  <si>
    <t>卫健系统基建</t>
  </si>
  <si>
    <t>闽侯县上街中心卫生院扩建项目基建款</t>
  </si>
  <si>
    <t>县生活垃圾转运处置及中转站运营提升改造费</t>
  </si>
  <si>
    <t>水务管养运营及其他给排水专项业务费</t>
  </si>
  <si>
    <t>生活污水和污泥处置费</t>
  </si>
  <si>
    <t>环卫一体化</t>
  </si>
  <si>
    <t>闽侯县乌龙江大道（上街段）工程</t>
  </si>
  <si>
    <t>旧城区部分主次干道白改黑提升改造工程</t>
  </si>
  <si>
    <t>新增耕地奖励和补充耕地异地购买耕地指标</t>
  </si>
  <si>
    <t>控规修编详细规划等项目</t>
  </si>
  <si>
    <t>规划设计等项目</t>
  </si>
  <si>
    <t>福州大世界橄榄有限公司收购款</t>
  </si>
  <si>
    <t>非国有工业企业收购</t>
  </si>
  <si>
    <t>上街镇东南科学城科创中心收储价款</t>
  </si>
  <si>
    <t>地铁5号线上盖收储项目</t>
  </si>
  <si>
    <t>地铁2号线上盖收储项目</t>
  </si>
  <si>
    <t>农村公路建设</t>
  </si>
  <si>
    <t>农村公路养护</t>
  </si>
  <si>
    <t>青口投资区林森大道（二期）道路工程（青口段）</t>
  </si>
  <si>
    <t>青口旧村改造项目征迁补偿款-1</t>
  </si>
  <si>
    <t>通洲路二期</t>
  </si>
  <si>
    <t>西环路</t>
  </si>
  <si>
    <t>罗洲南路一期（三联溪一期）工程</t>
  </si>
  <si>
    <t>北环路二期</t>
  </si>
  <si>
    <t>旗山湖周边片区岐头村旧改项目征迁补偿款</t>
  </si>
  <si>
    <t>闽侯县宗地2019-08号地块商住用地商业房三、四、五期回购款</t>
  </si>
  <si>
    <t>上街镇项目2024年房屋征收过渡费</t>
  </si>
  <si>
    <t>国宾路沿线城市品质提升“回头看”项目</t>
  </si>
  <si>
    <t>国宾大道、旗山大道、福银高速（上街段）沿线景观综合提升工程（闽侯县重要景观线路环境综合提升工程））</t>
  </si>
  <si>
    <t>滨溪路</t>
  </si>
  <si>
    <t>荆溪镇征迁类项目</t>
  </si>
  <si>
    <t>溪下安置房</t>
  </si>
  <si>
    <t>闽侯县城旧城改造项目（旧改一、二、三期安置补助费）</t>
  </si>
  <si>
    <t>甘蔗街道关于核拨安商房项目回购款（税费成本）</t>
  </si>
  <si>
    <t>旧城改造一期建设资金</t>
  </si>
  <si>
    <t>甘洪路（昌福铁路（光明）至永丰三环连接线）提升改造工程（首邑大道）项目</t>
  </si>
  <si>
    <t>其他政府性基金支出</t>
  </si>
  <si>
    <t>政府性基金综合预留</t>
  </si>
  <si>
    <t>福州高新区三创产业园景观提升(新南）</t>
  </si>
  <si>
    <t>征地补偿（土储）</t>
  </si>
  <si>
    <t>福州大学城公共租赁房回购(国资)</t>
  </si>
  <si>
    <t>一期安置房C区(高投）</t>
  </si>
  <si>
    <t xml:space="preserve">世茂璀璨江山项目安置住宅回购款（宗地榕高新2018-02号地块）                                                                </t>
  </si>
  <si>
    <t>榕耀花园回购项目（宗地榕高新2022-02号地块）（国资）</t>
  </si>
  <si>
    <t>福晟印江南回购项目（宗地榕高新2017-01号地块）（国资）</t>
  </si>
  <si>
    <t>3号路改线项目（尧沙村）房屋征收补偿款</t>
  </si>
  <si>
    <t xml:space="preserve">三迪雅颂枫丹安置住宅回购款（宗地榕高新2019-07号地块）                                                   </t>
  </si>
  <si>
    <t xml:space="preserve">三迪雅颂枫丹商贸用房回购款（宗地榕高新2019-07号地块）                                        </t>
  </si>
  <si>
    <t xml:space="preserve">国贸学原二期住宅回购安置住宅（宗地榕高新2020-04号地块）（国资）
</t>
  </si>
  <si>
    <t>零星工程收回</t>
  </si>
  <si>
    <t>债券付息支出</t>
  </si>
  <si>
    <t>闽侯青口汽车城东台工业园项目</t>
  </si>
  <si>
    <t>汽车城奔驰产业园区基础设施及配套附属项目</t>
  </si>
  <si>
    <t>闽侯县2023年幼儿园工程包</t>
  </si>
  <si>
    <t>福州至长乐机场城际铁路（F1线）</t>
  </si>
  <si>
    <t>闽侯汽车城七里产业园项目</t>
  </si>
  <si>
    <t>青口东南汽车城园区水环境配套工程一期</t>
  </si>
  <si>
    <t>海峡两岸融合发展青口汽车工业园区淘江口产业园区基础设施及配套附属项目</t>
  </si>
  <si>
    <t>桐口现代冷链物流园及基础设施项目</t>
  </si>
  <si>
    <t>青口汽车工业园区青口片区配套基础设施项目</t>
  </si>
  <si>
    <t>县城生活垃圾转运站项目</t>
  </si>
  <si>
    <t>小箬乡高质量农业产业配套设施建设项目</t>
  </si>
  <si>
    <t>闽侯县生活污水提升治理项目</t>
  </si>
  <si>
    <t>青口汽车工业园区卜洲片区产业园基础配套设施项目</t>
  </si>
  <si>
    <t>福州市闽江下游竹岐段农业产业综合示范区项目</t>
  </si>
  <si>
    <t>闽侯青口汽车城兰圃产业园项目</t>
  </si>
  <si>
    <t>海峡两岸融合发展青口汽车工业园区菁智汽车产业园基础配套设施项目</t>
  </si>
  <si>
    <t>闽侯县卫健系统补短板建设项目</t>
  </si>
  <si>
    <t>廷坪乡农业基础配套设施项目</t>
  </si>
  <si>
    <t>祥谦镇农业配套基础设施项目</t>
  </si>
  <si>
    <t>闽江南岸沿线生活污水治理项目</t>
  </si>
  <si>
    <t>青口汽车工业园区（经开片区）基础设施项目</t>
  </si>
  <si>
    <t>鸿尾乡现代农业基础设施提升改造项目</t>
  </si>
  <si>
    <t>闽侯县中心城区停车场建设项目</t>
  </si>
  <si>
    <t>福建省闽侯县国家储备林森林资源质量提升项目</t>
  </si>
  <si>
    <t>闽侯县关源里片区农田生产力提升工程</t>
  </si>
  <si>
    <t>五虎山国家森林公园周边配套设施建设项目</t>
  </si>
  <si>
    <t>南通水厂供水工程</t>
  </si>
  <si>
    <t>闽侯县“千年侯官”文化旅游基础配套项目——先行示范区</t>
  </si>
  <si>
    <t>闽侯县城镇供水工程</t>
  </si>
  <si>
    <t>闽侯县三叠井国家森林公园周边基础设施项目</t>
  </si>
  <si>
    <t>十八重溪景区文旅基础设施改造项目</t>
  </si>
  <si>
    <t>汽车城东南产业园区基础设施及配套附属项目</t>
  </si>
  <si>
    <t>闽侯县城区农贸市场及配套基础设施项目</t>
  </si>
  <si>
    <t>青口汽车工业园区（陈店湖片区）基础设施项目</t>
  </si>
  <si>
    <t>白沙镇高速冷链物流园项目</t>
  </si>
  <si>
    <t>闽侯县白沙镇精品农业基础设施项目</t>
  </si>
  <si>
    <t>闽侯县县域停车场新能源汽车智能充电桩配套项目</t>
  </si>
  <si>
    <t>闽侯县储备粮中心库扩建项目</t>
  </si>
  <si>
    <t>南通镇防洪排涝综合治理项目</t>
  </si>
  <si>
    <t>南通镇农业基础设施配套项目</t>
  </si>
  <si>
    <t>青口汽车工业园区（南通片区）基础设施项目</t>
  </si>
  <si>
    <t>闽侯县城供水一体化建设工程</t>
  </si>
  <si>
    <t>青口汽车工业园区（荆溪片区）基础设施项目</t>
  </si>
  <si>
    <t>闽侯县大湖乡现代农业产业配套基础设施项目</t>
  </si>
  <si>
    <t>大湖乡生态农业示范区项目</t>
  </si>
  <si>
    <t>闽侯县闽江南片区污水设施改造项目</t>
  </si>
  <si>
    <t>南通洲头水厂提升改造及供水管网工程</t>
  </si>
  <si>
    <t>东南水厂基础设施提升改造工程</t>
  </si>
  <si>
    <t>福州大学城青源水厂及配套管网建设工程</t>
  </si>
  <si>
    <t>闽侯县闽江北片区污水设施改造项目</t>
  </si>
  <si>
    <t>闽侯县洋里农业产业及配套基础设施提升项目</t>
  </si>
  <si>
    <t>闽侯县第五中学校园建设项目（高中）</t>
  </si>
  <si>
    <t>闽侯县一中校园扩建项目（高中教学楼、综合楼等部分建设项目）</t>
  </si>
  <si>
    <t>闽侯二中新建教学楼及附属工程（高中）</t>
  </si>
  <si>
    <t>福建医大附属中学（高中）</t>
  </si>
  <si>
    <t>闽侯八中新校区二期宿舍楼及附属工程项目（高中）</t>
  </si>
  <si>
    <t>上街中心卫生院扩征建设项目</t>
  </si>
  <si>
    <t>闽侯县疾病预防控制中心扩建项目</t>
  </si>
  <si>
    <t>福州大学城防洪排涝能力提升工程</t>
  </si>
  <si>
    <t>福建福特科光电股份有限公司精密光学元件产业基地建设项目</t>
  </si>
  <si>
    <t>安里溪补水工程（新南）</t>
  </si>
  <si>
    <t>新洲村旗山大道沿街民房外墙景观改造工程（村镇办）</t>
  </si>
  <si>
    <t>马排村民房外墙景观改造工程（村镇办）</t>
  </si>
  <si>
    <t>厚庭村新洲村民房（裸房）外墙景观改造工程（村镇办）</t>
  </si>
  <si>
    <t>厚庭村民房(裸房）外墙景观改造工程（村镇办）</t>
  </si>
  <si>
    <t>国贸学原二期租赁住房回购（宗地榕高新2020-04号地块）</t>
  </si>
  <si>
    <t>海西园征迁建设指挥部房屋征收补偿款</t>
  </si>
  <si>
    <t>小城镇指挥部房屋征收补偿款</t>
  </si>
  <si>
    <t>两园指挥部房屋征收补偿款</t>
  </si>
  <si>
    <t>小城镇葛岐旧村改造项目</t>
  </si>
  <si>
    <t>流洲安置房周边绿化及区间道路项目</t>
  </si>
  <si>
    <t>马排安置房二期回购款</t>
  </si>
  <si>
    <t>流洲安置房A区住宅回购款（宗地榕高新2023-02号地块）</t>
  </si>
  <si>
    <t xml:space="preserve">流洲安置房（A区）回购邻里商业（宗地榕高新2023-02号地块）
</t>
  </si>
  <si>
    <t>流洲安置房（A区）回购地下室（宗地榕高新2023-02号地块）</t>
  </si>
  <si>
    <t>新南代建管理费</t>
  </si>
  <si>
    <t>碧桂园铂悦府项目住宅回购（宗地榕高新2017-02号地块）（国资）</t>
  </si>
  <si>
    <t>翔龙花园回购</t>
  </si>
  <si>
    <t>两园3号路道路工程(新南)</t>
  </si>
  <si>
    <t>新马花园安置房回购款</t>
  </si>
  <si>
    <t>被征地农民保障金预留</t>
  </si>
  <si>
    <t>河滨西路旧村改造征收补偿款</t>
  </si>
  <si>
    <t>创新园四期及相关基础配套设施建设项目</t>
  </si>
  <si>
    <t>第三代半导体数字产业园</t>
  </si>
  <si>
    <t>福州高新区综合医院(一期)</t>
  </si>
  <si>
    <t>高新区智慧产业园及基础配套设施建设</t>
  </si>
  <si>
    <t>高新区综合智能产业园及基础设施配套建设</t>
  </si>
  <si>
    <t>两园高标准数字产业园及基础设施配套建设</t>
  </si>
  <si>
    <t>福州高新区南前五都安置房</t>
  </si>
  <si>
    <t>福州高新区南屿镇农村供水工程</t>
  </si>
  <si>
    <t>福州高新区数字经济产业园3#地块及基础配套设施建设</t>
  </si>
  <si>
    <t>福州高新区智慧产业园及基础配套设施建设二期</t>
  </si>
  <si>
    <t>福州高新区综合医院（一期）</t>
  </si>
  <si>
    <t>海峡柔性实验室配套基础设施建设</t>
  </si>
  <si>
    <t>福州高新区光电产业基地D区</t>
  </si>
  <si>
    <t>福州高新区光电产业基地C区</t>
  </si>
  <si>
    <t>特殊再融资专项债</t>
  </si>
  <si>
    <t>附表6：2024年政府性基金预算支出调整情况表</t>
  </si>
  <si>
    <t>动用上年结余</t>
  </si>
  <si>
    <t>调出基金</t>
  </si>
  <si>
    <t>超长期特别国债</t>
  </si>
  <si>
    <t>上解支出</t>
  </si>
  <si>
    <t>社会保障和就业支出</t>
  </si>
  <si>
    <t>资源勘探信息等支出</t>
  </si>
  <si>
    <t>债务付息支出</t>
  </si>
  <si>
    <t>债务发行费用支出</t>
  </si>
  <si>
    <t>附表7：2024年地方政府债券资金安排情况表</t>
  </si>
  <si>
    <t>序号</t>
  </si>
  <si>
    <t>项目单位</t>
  </si>
  <si>
    <t>项目名称</t>
  </si>
  <si>
    <t>2023年新增债券资金额度</t>
  </si>
  <si>
    <t>闽侯县振兴一乡村集团有限公司</t>
  </si>
  <si>
    <t>福州市首邑交通建设投资有限责任公司</t>
  </si>
  <si>
    <t>闽侯县教育局</t>
  </si>
  <si>
    <t>闽侯县南通镇财政所</t>
  </si>
  <si>
    <t>一般债券合计</t>
  </si>
  <si>
    <t>福州东南汽车城投资发展集团有限公司</t>
  </si>
  <si>
    <t>闽侯青口汽车工业园区管委会</t>
  </si>
  <si>
    <t>福州地铁集团有限公司</t>
  </si>
  <si>
    <t>闽侯县祥谦镇财政所</t>
  </si>
  <si>
    <t>闽侯县荆溪镇财政所</t>
  </si>
  <si>
    <t>闽侯县青口镇财政所</t>
  </si>
  <si>
    <t>闽侯县住房和城乡建设局</t>
  </si>
  <si>
    <t>闽侯县小箬乡财政所</t>
  </si>
  <si>
    <t>闽侯县竹岐乡财政所</t>
  </si>
  <si>
    <t>闽侯县尚干镇财政所</t>
  </si>
  <si>
    <t>闽侯县卫生健康局</t>
  </si>
  <si>
    <t>闽侯县廷坪乡财政所</t>
  </si>
  <si>
    <t>闽侯经济发展中心</t>
  </si>
  <si>
    <t>闽侯县鸿尾乡财政所</t>
  </si>
  <si>
    <t>闽侯县发展和改革局</t>
  </si>
  <si>
    <t>闽侯县林业局</t>
  </si>
  <si>
    <t>闽侯县五虎山国家森林公园管理委员会</t>
  </si>
  <si>
    <t>闽侯县上街镇财政所</t>
  </si>
  <si>
    <t>闽侯县水利局</t>
  </si>
  <si>
    <t>闽侯青口汽车工业园区管理委员会</t>
  </si>
  <si>
    <t>闽侯县甘蔗街道财政所</t>
  </si>
  <si>
    <t>闽侯县白沙镇人民政府</t>
  </si>
  <si>
    <t>闽侯县发改局</t>
  </si>
  <si>
    <t>闽侯县建设投资集团有限公司</t>
  </si>
  <si>
    <t>闽侯县南通镇人民政府</t>
  </si>
  <si>
    <t>大湖乡人民政府</t>
  </si>
  <si>
    <t>竹岐乡人民政府</t>
  </si>
  <si>
    <t>洋里乡人民政府</t>
  </si>
  <si>
    <t>闽侯县本级小计</t>
  </si>
  <si>
    <t>福州高新区城乡建设局</t>
  </si>
  <si>
    <t>第三代半导体数字产业园项目</t>
  </si>
  <si>
    <t>高新区小计</t>
  </si>
  <si>
    <t>专项债券合计</t>
  </si>
</sst>
</file>

<file path=xl/styles.xml><?xml version="1.0" encoding="utf-8"?>
<styleSheet xmlns="http://schemas.openxmlformats.org/spreadsheetml/2006/main">
  <numFmts count="12">
    <numFmt numFmtId="176" formatCode="#,##0.00_);[Red]\(#,##0.00\)"/>
    <numFmt numFmtId="177" formatCode="#,##0.00_ "/>
    <numFmt numFmtId="178" formatCode="#,##0.0000_);[Red]\(#,##0.0000\)"/>
    <numFmt numFmtId="179" formatCode="0_);[Red]\(0\)"/>
    <numFmt numFmtId="43" formatCode="_ * #,##0.00_ ;_ * \-#,##0.00_ ;_ * &quot;-&quot;??_ ;_ @_ "/>
    <numFmt numFmtId="180" formatCode="0_ "/>
    <numFmt numFmtId="181" formatCode="#,##0_ "/>
    <numFmt numFmtId="182" formatCode="0.00_ "/>
    <numFmt numFmtId="44" formatCode="_ &quot;￥&quot;* #,##0.00_ ;_ &quot;￥&quot;* \-#,##0.00_ ;_ &quot;￥&quot;* &quot;-&quot;??_ ;_ @_ "/>
    <numFmt numFmtId="183" formatCode="#,##0.0000_ "/>
    <numFmt numFmtId="42" formatCode="_ &quot;￥&quot;* #,##0_ ;_ &quot;￥&quot;* \-#,##0_ ;_ &quot;￥&quot;* &quot;-&quot;_ ;_ @_ "/>
    <numFmt numFmtId="41" formatCode="_ * #,##0_ ;_ * \-#,##0_ ;_ * &quot;-&quot;_ ;_ @_ "/>
  </numFmts>
  <fonts count="59">
    <font>
      <sz val="11"/>
      <color theme="1"/>
      <name val="宋体"/>
      <charset val="134"/>
      <scheme val="minor"/>
    </font>
    <font>
      <sz val="14"/>
      <name val="宋体"/>
      <charset val="134"/>
      <scheme val="minor"/>
    </font>
    <font>
      <b/>
      <sz val="11"/>
      <name val="宋体"/>
      <charset val="134"/>
      <scheme val="minor"/>
    </font>
    <font>
      <b/>
      <sz val="14"/>
      <name val="楷体"/>
      <charset val="134"/>
    </font>
    <font>
      <b/>
      <sz val="14"/>
      <name val="宋体"/>
      <charset val="134"/>
      <scheme val="minor"/>
    </font>
    <font>
      <sz val="24"/>
      <name val="宋体"/>
      <charset val="134"/>
      <scheme val="minor"/>
    </font>
    <font>
      <sz val="11"/>
      <name val="宋体"/>
      <charset val="134"/>
      <scheme val="minor"/>
    </font>
    <font>
      <b/>
      <sz val="14"/>
      <name val="楷体_GB2312"/>
      <charset val="134"/>
    </font>
    <font>
      <sz val="14"/>
      <name val="宋体"/>
      <charset val="134"/>
    </font>
    <font>
      <sz val="11"/>
      <color indexed="8"/>
      <name val="宋体"/>
      <charset val="134"/>
    </font>
    <font>
      <b/>
      <sz val="11"/>
      <color indexed="8"/>
      <name val="宋体"/>
      <charset val="134"/>
    </font>
    <font>
      <sz val="11"/>
      <name val="宋体"/>
      <charset val="134"/>
    </font>
    <font>
      <b/>
      <sz val="22"/>
      <name val="宋体"/>
      <charset val="134"/>
    </font>
    <font>
      <b/>
      <sz val="14"/>
      <name val="宋体"/>
      <charset val="134"/>
    </font>
    <font>
      <b/>
      <sz val="12"/>
      <name val="宋体"/>
      <charset val="134"/>
    </font>
    <font>
      <sz val="10"/>
      <name val="宋体"/>
      <charset val="134"/>
    </font>
    <font>
      <sz val="12"/>
      <name val="宋体"/>
      <charset val="134"/>
    </font>
    <font>
      <b/>
      <sz val="11"/>
      <name val="宋体"/>
      <charset val="134"/>
    </font>
    <font>
      <sz val="14"/>
      <name val="仿宋"/>
      <charset val="134"/>
    </font>
    <font>
      <sz val="14"/>
      <color indexed="8"/>
      <name val="仿宋"/>
      <charset val="134"/>
    </font>
    <font>
      <b/>
      <sz val="14"/>
      <name val="仿宋"/>
      <charset val="134"/>
    </font>
    <font>
      <b/>
      <sz val="14"/>
      <color indexed="8"/>
      <name val="仿宋"/>
      <charset val="134"/>
    </font>
    <font>
      <sz val="10"/>
      <color indexed="8"/>
      <name val="仿宋"/>
      <charset val="134"/>
    </font>
    <font>
      <sz val="11"/>
      <name val="仿宋"/>
      <charset val="134"/>
    </font>
    <font>
      <sz val="12"/>
      <name val="宋体"/>
      <charset val="134"/>
      <scheme val="minor"/>
    </font>
    <font>
      <b/>
      <sz val="12"/>
      <name val="仿宋"/>
      <charset val="134"/>
    </font>
    <font>
      <sz val="12"/>
      <name val="仿宋"/>
      <charset val="134"/>
    </font>
    <font>
      <sz val="10"/>
      <name val="仿宋"/>
      <charset val="134"/>
    </font>
    <font>
      <sz val="12"/>
      <color theme="1"/>
      <name val="宋体"/>
      <charset val="134"/>
      <scheme val="minor"/>
    </font>
    <font>
      <b/>
      <sz val="16"/>
      <name val="宋体"/>
      <charset val="134"/>
    </font>
    <font>
      <sz val="12"/>
      <color indexed="8"/>
      <name val="宋体"/>
      <charset val="134"/>
    </font>
    <font>
      <sz val="12"/>
      <color indexed="9"/>
      <name val="宋体"/>
      <charset val="134"/>
    </font>
    <font>
      <b/>
      <sz val="13"/>
      <color theme="3"/>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b/>
      <sz val="12"/>
      <color indexed="8"/>
      <name val="宋体"/>
      <charset val="134"/>
    </font>
    <font>
      <b/>
      <sz val="18"/>
      <color indexed="62"/>
      <name val="宋体"/>
      <charset val="134"/>
    </font>
    <font>
      <sz val="11"/>
      <color indexed="17"/>
      <name val="宋体"/>
      <charset val="134"/>
    </font>
    <font>
      <b/>
      <sz val="11"/>
      <color theme="3"/>
      <name val="宋体"/>
      <charset val="134"/>
      <scheme val="minor"/>
    </font>
    <font>
      <b/>
      <sz val="11"/>
      <color rgb="FF3F3F3F"/>
      <name val="宋体"/>
      <charset val="0"/>
      <scheme val="minor"/>
    </font>
    <font>
      <u/>
      <sz val="11"/>
      <color indexed="12"/>
      <name val="宋体"/>
      <charset val="134"/>
    </font>
    <font>
      <sz val="11"/>
      <color indexed="20"/>
      <name val="宋体"/>
      <charset val="134"/>
    </font>
    <font>
      <i/>
      <sz val="11"/>
      <color rgb="FF7F7F7F"/>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u/>
      <sz val="11"/>
      <color indexed="30"/>
      <name val="宋体"/>
      <charset val="134"/>
    </font>
    <font>
      <b/>
      <sz val="11"/>
      <color rgb="FFFFFFFF"/>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9"/>
      <name val="宋体"/>
      <charset val="134"/>
    </font>
    <font>
      <b/>
      <sz val="9"/>
      <name val="宋体"/>
      <charset val="134"/>
    </font>
  </fonts>
  <fills count="4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26"/>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indexed="22"/>
        <bgColor indexed="64"/>
      </patternFill>
    </fill>
    <fill>
      <patternFill patternType="solid">
        <fgColor indexed="31"/>
        <bgColor indexed="64"/>
      </patternFill>
    </fill>
    <fill>
      <patternFill patternType="solid">
        <fgColor indexed="54"/>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indexed="49"/>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lightUp">
        <fgColor indexed="9"/>
        <bgColor indexed="22"/>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indexed="52"/>
        <bgColor indexed="64"/>
      </patternFill>
    </fill>
    <fill>
      <patternFill patternType="solid">
        <fgColor theme="7"/>
        <bgColor indexed="64"/>
      </patternFill>
    </fill>
    <fill>
      <patternFill patternType="solid">
        <fgColor rgb="FFF2F2F2"/>
        <bgColor indexed="64"/>
      </patternFill>
    </fill>
    <fill>
      <patternFill patternType="solid">
        <fgColor indexed="25"/>
        <bgColor indexed="64"/>
      </patternFill>
    </fill>
    <fill>
      <patternFill patternType="solid">
        <fgColor indexed="44"/>
        <bgColor indexed="64"/>
      </patternFill>
    </fill>
    <fill>
      <patternFill patternType="solid">
        <fgColor indexed="45"/>
        <bgColor indexed="64"/>
      </patternFill>
    </fill>
    <fill>
      <patternFill patternType="solid">
        <fgColor theme="7" tint="0.599993896298105"/>
        <bgColor indexed="64"/>
      </patternFill>
    </fill>
    <fill>
      <patternFill patternType="solid">
        <fgColor indexed="2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lightUp">
        <fgColor indexed="9"/>
        <bgColor indexed="55"/>
      </patternFill>
    </fill>
    <fill>
      <patternFill patternType="lightUp">
        <fgColor indexed="9"/>
        <bgColor indexed="29"/>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s>
  <borders count="2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indexed="8"/>
      </left>
      <right/>
      <top style="thin">
        <color indexed="8"/>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126">
    <xf numFmtId="0" fontId="0" fillId="0" borderId="0">
      <alignment vertical="center"/>
    </xf>
    <xf numFmtId="0" fontId="40" fillId="40" borderId="0" applyNumberFormat="false" applyBorder="false" applyAlignment="false" applyProtection="false"/>
    <xf numFmtId="0" fontId="40" fillId="40" borderId="0" applyNumberFormat="false" applyBorder="false" applyAlignment="false" applyProtection="false"/>
    <xf numFmtId="0" fontId="42" fillId="2" borderId="0" applyNumberFormat="false" applyBorder="false" applyAlignment="false" applyProtection="false">
      <alignment vertical="center"/>
    </xf>
    <xf numFmtId="0" fontId="42" fillId="2" borderId="0" applyNumberFormat="false" applyBorder="false" applyAlignment="false" applyProtection="false">
      <alignment vertical="center"/>
    </xf>
    <xf numFmtId="0" fontId="0" fillId="0" borderId="0">
      <alignment vertical="center"/>
    </xf>
    <xf numFmtId="0" fontId="16" fillId="0" borderId="0"/>
    <xf numFmtId="0" fontId="40" fillId="22" borderId="0" applyNumberFormat="false" applyBorder="false" applyAlignment="false" applyProtection="false"/>
    <xf numFmtId="0" fontId="16" fillId="0" borderId="0"/>
    <xf numFmtId="0" fontId="40" fillId="22" borderId="0" applyNumberFormat="false" applyBorder="false" applyAlignment="false" applyProtection="false"/>
    <xf numFmtId="0" fontId="16" fillId="0" borderId="0"/>
    <xf numFmtId="0" fontId="46" fillId="32" borderId="0" applyNumberFormat="false" applyBorder="false" applyAlignment="false" applyProtection="false">
      <alignment vertical="center"/>
    </xf>
    <xf numFmtId="0" fontId="46" fillId="32" borderId="0" applyNumberFormat="false" applyBorder="false" applyAlignment="false" applyProtection="false">
      <alignment vertical="center"/>
    </xf>
    <xf numFmtId="0" fontId="41" fillId="0" borderId="0" applyNumberFormat="false" applyFill="false" applyBorder="false" applyAlignment="false" applyProtection="false"/>
    <xf numFmtId="0" fontId="31" fillId="11" borderId="0" applyNumberFormat="false" applyBorder="false" applyAlignment="false" applyProtection="false"/>
    <xf numFmtId="0" fontId="31" fillId="11" borderId="0" applyNumberFormat="false" applyBorder="false" applyAlignment="false" applyProtection="false"/>
    <xf numFmtId="0" fontId="30" fillId="4" borderId="0" applyNumberFormat="false" applyBorder="false" applyAlignment="false" applyProtection="false"/>
    <xf numFmtId="0" fontId="31" fillId="18" borderId="0" applyNumberFormat="false" applyBorder="false" applyAlignment="false" applyProtection="false"/>
    <xf numFmtId="0" fontId="51" fillId="0" borderId="0" applyNumberFormat="false" applyFill="false" applyBorder="false" applyAlignment="false" applyProtection="false">
      <alignment vertical="top"/>
      <protection locked="false"/>
    </xf>
    <xf numFmtId="0" fontId="31" fillId="31" borderId="0" applyNumberFormat="false" applyBorder="false" applyAlignment="false" applyProtection="false"/>
    <xf numFmtId="0" fontId="31" fillId="31" borderId="0" applyNumberFormat="false" applyBorder="false" applyAlignment="false" applyProtection="false"/>
    <xf numFmtId="42" fontId="0" fillId="0" borderId="0" applyFont="false" applyFill="false" applyBorder="false" applyAlignment="false" applyProtection="false">
      <alignment vertical="center"/>
    </xf>
    <xf numFmtId="0" fontId="30" fillId="9" borderId="0" applyNumberFormat="false" applyBorder="false" applyAlignment="false" applyProtection="false"/>
    <xf numFmtId="0" fontId="48" fillId="36" borderId="0" applyNumberFormat="false" applyBorder="false" applyAlignment="false" applyProtection="false">
      <alignment vertical="center"/>
    </xf>
    <xf numFmtId="0" fontId="30" fillId="9" borderId="0" applyNumberFormat="false" applyBorder="false" applyAlignment="false" applyProtection="false"/>
    <xf numFmtId="0" fontId="30" fillId="34" borderId="0" applyNumberFormat="false" applyBorder="false" applyAlignment="false" applyProtection="false"/>
    <xf numFmtId="0" fontId="30" fillId="34" borderId="0" applyNumberFormat="false" applyBorder="false" applyAlignment="false" applyProtection="false"/>
    <xf numFmtId="0" fontId="31" fillId="30" borderId="0" applyNumberFormat="false" applyBorder="false" applyAlignment="false" applyProtection="false"/>
    <xf numFmtId="0" fontId="31" fillId="18" borderId="0" applyNumberFormat="false" applyBorder="false" applyAlignment="false" applyProtection="false"/>
    <xf numFmtId="41" fontId="0" fillId="0" borderId="0" applyFont="false" applyFill="false" applyBorder="false" applyAlignment="false" applyProtection="false">
      <alignment vertical="center"/>
    </xf>
    <xf numFmtId="0" fontId="31" fillId="10" borderId="0" applyNumberFormat="false" applyBorder="false" applyAlignment="false" applyProtection="false"/>
    <xf numFmtId="0" fontId="31" fillId="3" borderId="0" applyNumberFormat="false" applyBorder="false" applyAlignment="false" applyProtection="false"/>
    <xf numFmtId="0" fontId="31" fillId="8" borderId="0" applyNumberFormat="false" applyBorder="false" applyAlignment="false" applyProtection="false"/>
    <xf numFmtId="0" fontId="34" fillId="37" borderId="0" applyNumberFormat="false" applyBorder="false" applyAlignment="false" applyProtection="false">
      <alignment vertical="center"/>
    </xf>
    <xf numFmtId="0" fontId="33" fillId="35" borderId="0" applyNumberFormat="false" applyBorder="false" applyAlignment="false" applyProtection="false">
      <alignment vertical="center"/>
    </xf>
    <xf numFmtId="0" fontId="31" fillId="8" borderId="0" applyNumberFormat="false" applyBorder="false" applyAlignment="false" applyProtection="false"/>
    <xf numFmtId="0" fontId="30" fillId="11" borderId="0" applyNumberFormat="false" applyBorder="false" applyAlignment="false" applyProtection="false"/>
    <xf numFmtId="0" fontId="30" fillId="9" borderId="0" applyNumberFormat="false" applyBorder="false" applyAlignment="false" applyProtection="false"/>
    <xf numFmtId="0" fontId="31" fillId="10" borderId="0" applyNumberFormat="false" applyBorder="false" applyAlignment="false" applyProtection="false"/>
    <xf numFmtId="0" fontId="31" fillId="30" borderId="0" applyNumberFormat="false" applyBorder="false" applyAlignment="false" applyProtection="false"/>
    <xf numFmtId="0" fontId="49" fillId="0" borderId="0" applyNumberFormat="false" applyFill="false" applyBorder="false" applyAlignment="false" applyProtection="false">
      <alignment vertical="center"/>
    </xf>
    <xf numFmtId="0" fontId="31" fillId="3" borderId="0" applyNumberFormat="false" applyBorder="false" applyAlignment="false" applyProtection="false"/>
    <xf numFmtId="0" fontId="50" fillId="3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30" borderId="0" applyNumberFormat="false" applyBorder="false" applyAlignment="false" applyProtection="false"/>
    <xf numFmtId="0" fontId="30" fillId="9" borderId="0" applyNumberFormat="false" applyBorder="false" applyAlignment="false" applyProtection="false"/>
    <xf numFmtId="0" fontId="0" fillId="0" borderId="0">
      <alignment vertical="center"/>
    </xf>
    <xf numFmtId="0" fontId="31" fillId="3" borderId="0" applyNumberFormat="false" applyBorder="false" applyAlignment="false" applyProtection="false"/>
    <xf numFmtId="0" fontId="31" fillId="8" borderId="0" applyNumberFormat="false" applyBorder="false" applyAlignment="false" applyProtection="false"/>
    <xf numFmtId="0" fontId="31" fillId="10" borderId="0" applyNumberFormat="false" applyBorder="false" applyAlignment="false" applyProtection="false"/>
    <xf numFmtId="0" fontId="46" fillId="32" borderId="0" applyNumberFormat="false" applyBorder="false" applyAlignment="false" applyProtection="false">
      <alignment vertical="center"/>
    </xf>
    <xf numFmtId="0" fontId="31" fillId="10" borderId="0" applyNumberFormat="false" applyBorder="false" applyAlignment="false" applyProtection="false"/>
    <xf numFmtId="0" fontId="31" fillId="27" borderId="0" applyNumberFormat="false" applyBorder="false" applyAlignment="false" applyProtection="false"/>
    <xf numFmtId="0" fontId="31" fillId="31" borderId="0" applyNumberFormat="false" applyBorder="false" applyAlignment="false" applyProtection="false"/>
    <xf numFmtId="0" fontId="30" fillId="8" borderId="0" applyNumberFormat="false" applyBorder="false" applyAlignment="false" applyProtection="false"/>
    <xf numFmtId="0" fontId="43" fillId="0" borderId="0" applyNumberFormat="false" applyFill="false" applyBorder="false" applyAlignment="false" applyProtection="false">
      <alignment vertical="center"/>
    </xf>
    <xf numFmtId="0" fontId="31" fillId="31" borderId="0" applyNumberFormat="false" applyBorder="false" applyAlignment="false" applyProtection="false"/>
    <xf numFmtId="0" fontId="31" fillId="27" borderId="0" applyNumberFormat="false" applyBorder="false" applyAlignment="false" applyProtection="false"/>
    <xf numFmtId="0" fontId="31" fillId="27" borderId="0" applyNumberFormat="false" applyBorder="false" applyAlignment="false" applyProtection="false"/>
    <xf numFmtId="0" fontId="30" fillId="9" borderId="0" applyNumberFormat="false" applyBorder="false" applyAlignment="false" applyProtection="false"/>
    <xf numFmtId="0" fontId="41" fillId="0" borderId="0" applyNumberFormat="false" applyFill="false" applyBorder="false" applyAlignment="false" applyProtection="false"/>
    <xf numFmtId="0" fontId="31" fillId="18" borderId="0" applyNumberFormat="false" applyBorder="false" applyAlignment="false" applyProtection="false"/>
    <xf numFmtId="0" fontId="34" fillId="23" borderId="0" applyNumberFormat="false" applyBorder="false" applyAlignment="false" applyProtection="false">
      <alignment vertical="center"/>
    </xf>
    <xf numFmtId="0" fontId="30" fillId="8" borderId="0" applyNumberFormat="false" applyBorder="false" applyAlignment="false" applyProtection="false"/>
    <xf numFmtId="0" fontId="34" fillId="39" borderId="0" applyNumberFormat="false" applyBorder="false" applyAlignment="false" applyProtection="false">
      <alignment vertical="center"/>
    </xf>
    <xf numFmtId="0" fontId="33" fillId="42"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9" fillId="19" borderId="16" applyNumberFormat="false" applyAlignment="false" applyProtection="false">
      <alignment vertical="center"/>
    </xf>
    <xf numFmtId="0" fontId="33"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10" borderId="0" applyNumberFormat="false" applyBorder="false" applyAlignment="false" applyProtection="false"/>
    <xf numFmtId="9" fontId="0" fillId="0" borderId="0" applyFont="false" applyFill="false" applyBorder="false" applyAlignment="false" applyProtection="false">
      <alignment vertical="center"/>
    </xf>
    <xf numFmtId="0" fontId="30" fillId="4" borderId="0" applyNumberFormat="false" applyBorder="false" applyAlignment="false" applyProtection="false"/>
    <xf numFmtId="43" fontId="0" fillId="0" borderId="0" applyFont="false" applyFill="false" applyBorder="false" applyAlignment="false" applyProtection="false">
      <alignment vertical="center"/>
    </xf>
    <xf numFmtId="0" fontId="34" fillId="45"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40" fillId="41" borderId="0" applyNumberFormat="false" applyBorder="false" applyAlignment="false" applyProtection="false"/>
    <xf numFmtId="0" fontId="30" fillId="2" borderId="0" applyNumberFormat="false" applyBorder="false" applyAlignment="false" applyProtection="false"/>
    <xf numFmtId="0" fontId="34" fillId="21" borderId="0" applyNumberFormat="false" applyBorder="false" applyAlignment="false" applyProtection="false">
      <alignment vertical="center"/>
    </xf>
    <xf numFmtId="0" fontId="42" fillId="2" borderId="0" applyNumberFormat="false" applyBorder="false" applyAlignment="false" applyProtection="false">
      <alignment vertical="center"/>
    </xf>
    <xf numFmtId="0" fontId="53" fillId="29" borderId="16" applyNumberFormat="false" applyAlignment="false" applyProtection="false">
      <alignment vertical="center"/>
    </xf>
    <xf numFmtId="0" fontId="33" fillId="24"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30" fillId="11" borderId="0" applyNumberFormat="false" applyBorder="false" applyAlignment="false" applyProtection="false"/>
    <xf numFmtId="0" fontId="43" fillId="0" borderId="21" applyNumberFormat="false" applyFill="false" applyAlignment="false" applyProtection="false">
      <alignment vertical="center"/>
    </xf>
    <xf numFmtId="0" fontId="38" fillId="12" borderId="0" applyNumberFormat="false" applyBorder="false" applyAlignment="false" applyProtection="false">
      <alignment vertical="center"/>
    </xf>
    <xf numFmtId="0" fontId="44" fillId="29" borderId="18" applyNumberFormat="false" applyAlignment="false" applyProtection="false">
      <alignment vertical="center"/>
    </xf>
    <xf numFmtId="0" fontId="33" fillId="13" borderId="0" applyNumberFormat="false" applyBorder="false" applyAlignment="false" applyProtection="false">
      <alignment vertical="center"/>
    </xf>
    <xf numFmtId="0" fontId="30" fillId="9" borderId="0" applyNumberFormat="false" applyBorder="false" applyAlignment="false" applyProtection="false"/>
    <xf numFmtId="0" fontId="30" fillId="4" borderId="0" applyNumberFormat="false" applyBorder="false" applyAlignment="false" applyProtection="false"/>
    <xf numFmtId="0" fontId="33" fillId="47" borderId="0" applyNumberFormat="false" applyBorder="false" applyAlignment="false" applyProtection="false">
      <alignment vertical="center"/>
    </xf>
    <xf numFmtId="0" fontId="37" fillId="0" borderId="15" applyNumberFormat="false" applyFill="false" applyAlignment="false" applyProtection="false">
      <alignment vertical="center"/>
    </xf>
    <xf numFmtId="0" fontId="31" fillId="10" borderId="0" applyNumberFormat="false" applyBorder="false" applyAlignment="false" applyProtection="false"/>
    <xf numFmtId="0" fontId="30" fillId="9" borderId="0" applyNumberFormat="false" applyBorder="false" applyAlignment="false" applyProtection="false"/>
    <xf numFmtId="0" fontId="52" fillId="43" borderId="19" applyNumberFormat="false" applyAlignment="false" applyProtection="false">
      <alignment vertical="center"/>
    </xf>
    <xf numFmtId="0" fontId="30" fillId="4" borderId="0" applyNumberFormat="false" applyBorder="false" applyAlignment="false" applyProtection="false"/>
    <xf numFmtId="0" fontId="56" fillId="0" borderId="14" applyNumberFormat="false" applyFill="false" applyAlignment="false" applyProtection="false">
      <alignment vertical="center"/>
    </xf>
    <xf numFmtId="0" fontId="30" fillId="4" borderId="0" applyNumberFormat="false" applyBorder="false" applyAlignment="false" applyProtection="false"/>
    <xf numFmtId="0" fontId="47" fillId="0" borderId="0" applyNumberFormat="false" applyFill="false" applyBorder="false" applyAlignment="false" applyProtection="false">
      <alignment vertical="center"/>
    </xf>
    <xf numFmtId="0" fontId="33" fillId="26" borderId="0" applyNumberFormat="false" applyBorder="false" applyAlignment="false" applyProtection="false">
      <alignment vertical="center"/>
    </xf>
    <xf numFmtId="0" fontId="31" fillId="8" borderId="0" applyNumberFormat="false" applyBorder="false" applyAlignment="false" applyProtection="false"/>
    <xf numFmtId="0" fontId="30" fillId="8" borderId="0" applyNumberFormat="false" applyBorder="false" applyAlignment="false" applyProtection="false"/>
    <xf numFmtId="0" fontId="31" fillId="3" borderId="0" applyNumberFormat="false" applyBorder="false" applyAlignment="false" applyProtection="false"/>
    <xf numFmtId="0" fontId="30" fillId="9" borderId="0" applyNumberFormat="false" applyBorder="false" applyAlignment="false" applyProtection="false"/>
    <xf numFmtId="0" fontId="3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8" borderId="0" applyNumberFormat="false" applyBorder="false" applyAlignment="false" applyProtection="false"/>
    <xf numFmtId="0" fontId="55" fillId="0" borderId="0" applyNumberFormat="false" applyFill="false" applyBorder="false" applyAlignment="false" applyProtection="false">
      <alignment vertical="center"/>
    </xf>
    <xf numFmtId="0" fontId="0" fillId="25" borderId="17" applyNumberFormat="false" applyFont="false" applyAlignment="false" applyProtection="false">
      <alignment vertical="center"/>
    </xf>
    <xf numFmtId="0" fontId="33" fillId="7" borderId="0" applyNumberFormat="false" applyBorder="false" applyAlignment="false" applyProtection="false">
      <alignment vertical="center"/>
    </xf>
    <xf numFmtId="0" fontId="16" fillId="0" borderId="0">
      <alignment vertical="center"/>
    </xf>
    <xf numFmtId="0" fontId="33" fillId="44" borderId="0" applyNumberFormat="false" applyBorder="false" applyAlignment="false" applyProtection="false">
      <alignment vertical="center"/>
    </xf>
    <xf numFmtId="0" fontId="34" fillId="4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0" fillId="4" borderId="0" applyNumberFormat="false" applyBorder="false" applyAlignment="false" applyProtection="false"/>
    <xf numFmtId="0" fontId="16" fillId="0" borderId="0"/>
    <xf numFmtId="0" fontId="32" fillId="0" borderId="14" applyNumberFormat="false" applyFill="false" applyAlignment="false" applyProtection="false">
      <alignment vertical="center"/>
    </xf>
    <xf numFmtId="0" fontId="31" fillId="3" borderId="0" applyNumberFormat="false" applyBorder="false" applyAlignment="false" applyProtection="false"/>
    <xf numFmtId="0" fontId="40" fillId="41" borderId="0" applyNumberFormat="false" applyBorder="false" applyAlignment="false" applyProtection="false"/>
    <xf numFmtId="0" fontId="30" fillId="2" borderId="0" applyNumberFormat="false" applyBorder="false" applyAlignment="false" applyProtection="false"/>
    <xf numFmtId="0" fontId="54" fillId="0" borderId="20" applyNumberFormat="false" applyFill="false" applyAlignment="false" applyProtection="false">
      <alignment vertical="center"/>
    </xf>
  </cellStyleXfs>
  <cellXfs count="238">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3" fillId="0" borderId="0" xfId="0" applyFont="true" applyFill="true">
      <alignment vertical="center"/>
    </xf>
    <xf numFmtId="0" fontId="1" fillId="0" borderId="0" xfId="0" applyFont="true" applyFill="true" applyAlignment="true">
      <alignment vertical="center" wrapText="true"/>
    </xf>
    <xf numFmtId="0" fontId="4" fillId="0" borderId="0" xfId="0" applyFont="true" applyFill="true">
      <alignment vertical="center"/>
    </xf>
    <xf numFmtId="0" fontId="1" fillId="0" borderId="0" xfId="0" applyFont="true" applyFill="true" applyAlignment="true">
      <alignment horizontal="center" vertical="center"/>
    </xf>
    <xf numFmtId="0" fontId="0" fillId="0" borderId="0" xfId="0" applyFill="true">
      <alignment vertical="center"/>
    </xf>
    <xf numFmtId="0" fontId="5"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181" fontId="1" fillId="0" borderId="2" xfId="0" applyNumberFormat="true" applyFont="true" applyFill="true" applyBorder="true" applyAlignment="true">
      <alignment horizontal="left" vertical="center"/>
    </xf>
    <xf numFmtId="181" fontId="1" fillId="0" borderId="2" xfId="0" applyNumberFormat="true"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2" xfId="46" applyFont="true" applyFill="true" applyBorder="true" applyAlignment="true">
      <alignment horizontal="center" vertical="center" wrapText="true"/>
    </xf>
    <xf numFmtId="181" fontId="3" fillId="0" borderId="2" xfId="0" applyNumberFormat="true" applyFont="true" applyFill="true" applyBorder="true" applyAlignment="true">
      <alignment horizontal="center" vertical="center"/>
    </xf>
    <xf numFmtId="181" fontId="1" fillId="0" borderId="2" xfId="0" applyNumberFormat="true" applyFont="true" applyFill="true" applyBorder="true" applyAlignment="true">
      <alignment horizontal="left" vertical="center" wrapText="true"/>
    </xf>
    <xf numFmtId="181" fontId="1" fillId="0" borderId="2" xfId="0" applyNumberFormat="true" applyFont="true" applyFill="true" applyBorder="true" applyAlignment="true">
      <alignment horizontal="center" vertical="center" wrapText="true"/>
    </xf>
    <xf numFmtId="0" fontId="6" fillId="0" borderId="0" xfId="0" applyFont="true" applyFill="true">
      <alignment vertical="center"/>
    </xf>
    <xf numFmtId="0" fontId="0" fillId="0" borderId="0" xfId="0" applyFont="true" applyFill="true">
      <alignment vertical="center"/>
    </xf>
    <xf numFmtId="0" fontId="0" fillId="0" borderId="0" xfId="0" applyFill="true" applyAlignment="true">
      <alignment vertical="center" wrapText="true"/>
    </xf>
    <xf numFmtId="0" fontId="4"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181" fontId="4" fillId="0" borderId="2" xfId="0" applyNumberFormat="true" applyFont="true" applyFill="true" applyBorder="true" applyAlignment="true">
      <alignment horizontal="center" vertical="center"/>
    </xf>
    <xf numFmtId="0" fontId="8" fillId="0" borderId="2" xfId="0" applyNumberFormat="true" applyFont="true" applyFill="true" applyBorder="true" applyAlignment="true">
      <alignment vertical="center" wrapText="true"/>
    </xf>
    <xf numFmtId="0" fontId="8" fillId="0" borderId="2" xfId="0" applyFont="true" applyFill="true" applyBorder="true" applyAlignment="true">
      <alignment horizontal="left" vertical="center" wrapText="true"/>
    </xf>
    <xf numFmtId="0" fontId="1" fillId="0" borderId="2" xfId="0" applyNumberFormat="true" applyFont="true" applyFill="true" applyBorder="true" applyAlignment="true">
      <alignment vertical="center" wrapText="true"/>
    </xf>
    <xf numFmtId="10" fontId="7" fillId="0" borderId="2" xfId="0" applyNumberFormat="true" applyFont="true" applyFill="true" applyBorder="true" applyAlignment="true">
      <alignment horizontal="center" vertical="center" wrapText="true"/>
    </xf>
    <xf numFmtId="0" fontId="3" fillId="0" borderId="2" xfId="0" applyFont="true" applyFill="true" applyBorder="true">
      <alignment vertical="center"/>
    </xf>
    <xf numFmtId="0" fontId="9" fillId="0" borderId="0" xfId="0" applyFont="true" applyFill="true" applyBorder="true" applyAlignment="true">
      <alignment vertical="center"/>
    </xf>
    <xf numFmtId="0" fontId="10" fillId="0" borderId="0" xfId="0" applyFont="true" applyFill="true" applyBorder="true" applyAlignment="true">
      <alignment vertical="center"/>
    </xf>
    <xf numFmtId="0" fontId="11"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2" fillId="0" borderId="0" xfId="0" applyFont="true" applyFill="true" applyBorder="true" applyAlignment="true">
      <alignment horizontal="center" vertical="center"/>
    </xf>
    <xf numFmtId="0" fontId="9" fillId="0" borderId="0" xfId="0" applyFont="true" applyFill="true" applyBorder="true" applyAlignment="true">
      <alignment wrapText="true"/>
    </xf>
    <xf numFmtId="0" fontId="9" fillId="0" borderId="0" xfId="0" applyFont="true" applyFill="true" applyBorder="true" applyAlignment="true"/>
    <xf numFmtId="0" fontId="13" fillId="0" borderId="2" xfId="0" applyFont="true" applyFill="true" applyBorder="true" applyAlignment="true">
      <alignment horizontal="center" vertical="center" wrapText="true"/>
    </xf>
    <xf numFmtId="0" fontId="14" fillId="0" borderId="2" xfId="0" applyNumberFormat="true" applyFont="true" applyFill="true" applyBorder="true" applyAlignment="true">
      <alignment horizontal="center" vertical="center"/>
    </xf>
    <xf numFmtId="0" fontId="14" fillId="0" borderId="2" xfId="12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8" fillId="0" borderId="2" xfId="0" applyFont="true" applyFill="true" applyBorder="true" applyAlignment="true">
      <alignment vertical="center" wrapText="true"/>
    </xf>
    <xf numFmtId="180" fontId="15" fillId="0" borderId="2" xfId="0" applyNumberFormat="true" applyFont="true" applyFill="true" applyBorder="true" applyAlignment="true">
      <alignment vertical="center"/>
    </xf>
    <xf numFmtId="0" fontId="8" fillId="0" borderId="0" xfId="0" applyFont="true" applyFill="true" applyBorder="true" applyAlignment="true">
      <alignment vertical="center" wrapText="true"/>
    </xf>
    <xf numFmtId="0" fontId="8" fillId="0" borderId="3" xfId="0" applyFont="true" applyFill="true" applyBorder="true" applyAlignment="true">
      <alignment vertical="center" wrapText="true"/>
    </xf>
    <xf numFmtId="0" fontId="9" fillId="0" borderId="2"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11" fillId="0" borderId="0" xfId="0" applyFont="true" applyFill="true" applyBorder="true" applyAlignment="true"/>
    <xf numFmtId="57" fontId="16" fillId="0" borderId="4" xfId="0" applyNumberFormat="true" applyFont="true" applyFill="true" applyBorder="true" applyAlignment="true">
      <alignment vertical="center"/>
    </xf>
    <xf numFmtId="0" fontId="16" fillId="0" borderId="4"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6" fillId="0" borderId="0" xfId="0" applyNumberFormat="true" applyFont="true" applyFill="true" applyBorder="true" applyAlignment="true">
      <alignment horizontal="center" vertical="center"/>
    </xf>
    <xf numFmtId="0" fontId="17" fillId="0" borderId="0" xfId="0" applyFont="true" applyFill="true" applyBorder="true" applyAlignment="true">
      <alignment horizontal="center" vertical="center"/>
    </xf>
    <xf numFmtId="181" fontId="18" fillId="0" borderId="0" xfId="0" applyNumberFormat="true" applyFont="true" applyFill="true" applyBorder="true" applyAlignment="true">
      <alignment horizontal="center" vertical="center" wrapText="true"/>
    </xf>
    <xf numFmtId="0" fontId="19" fillId="0" borderId="0" xfId="0" applyFont="true" applyFill="true" applyBorder="true" applyAlignment="true">
      <alignment horizontal="center"/>
    </xf>
    <xf numFmtId="0" fontId="20" fillId="0" borderId="2" xfId="0" applyNumberFormat="true" applyFont="true" applyFill="true" applyBorder="true" applyAlignment="true">
      <alignment horizontal="center" vertical="center"/>
    </xf>
    <xf numFmtId="0" fontId="20" fillId="0" borderId="0" xfId="0" applyNumberFormat="true" applyFont="true" applyFill="true" applyBorder="true" applyAlignment="true">
      <alignment horizontal="center" vertical="center"/>
    </xf>
    <xf numFmtId="181" fontId="20" fillId="0" borderId="2" xfId="120" applyNumberFormat="true" applyFont="true" applyFill="true" applyBorder="true" applyAlignment="true">
      <alignment horizontal="center" vertical="center" wrapText="true"/>
    </xf>
    <xf numFmtId="0" fontId="21" fillId="0" borderId="2" xfId="120" applyFont="true" applyFill="true" applyBorder="true" applyAlignment="true">
      <alignment horizontal="center" vertical="center" wrapText="true"/>
    </xf>
    <xf numFmtId="0" fontId="21" fillId="0" borderId="0" xfId="120" applyFont="true" applyFill="true" applyBorder="true" applyAlignment="true">
      <alignment horizontal="center" vertical="center" wrapText="true"/>
    </xf>
    <xf numFmtId="180" fontId="22" fillId="0" borderId="2" xfId="0" applyNumberFormat="true" applyFont="true" applyFill="true" applyBorder="true" applyAlignment="true">
      <alignment horizontal="center" vertical="center"/>
    </xf>
    <xf numFmtId="180" fontId="22" fillId="0" borderId="0" xfId="0" applyNumberFormat="true" applyFont="true" applyFill="true" applyBorder="true" applyAlignment="true">
      <alignment horizontal="center" vertical="center"/>
    </xf>
    <xf numFmtId="0" fontId="17" fillId="0" borderId="0" xfId="0" applyFont="true" applyFill="true" applyAlignment="true"/>
    <xf numFmtId="0" fontId="14" fillId="0" borderId="0" xfId="0" applyFont="true" applyFill="true" applyAlignment="true"/>
    <xf numFmtId="182" fontId="14" fillId="0" borderId="0" xfId="0" applyNumberFormat="true" applyFont="true" applyFill="true" applyAlignment="true"/>
    <xf numFmtId="182" fontId="17" fillId="0" borderId="0" xfId="0" applyNumberFormat="true" applyFont="true" applyFill="true" applyAlignment="true"/>
    <xf numFmtId="182" fontId="6" fillId="0" borderId="0" xfId="0" applyNumberFormat="true" applyFont="true" applyFill="true" applyAlignment="true"/>
    <xf numFmtId="182" fontId="16" fillId="0" borderId="0" xfId="0" applyNumberFormat="true" applyFont="true" applyFill="true" applyAlignment="true"/>
    <xf numFmtId="0" fontId="16" fillId="0" borderId="0" xfId="0" applyFont="true" applyFill="true" applyAlignment="true"/>
    <xf numFmtId="179" fontId="6" fillId="0" borderId="0" xfId="0" applyNumberFormat="true" applyFont="true" applyFill="true" applyAlignment="true">
      <alignment horizontal="center" vertical="center"/>
    </xf>
    <xf numFmtId="0" fontId="23" fillId="0" borderId="0" xfId="0" applyFont="true" applyFill="true" applyAlignment="true"/>
    <xf numFmtId="181" fontId="24" fillId="0" borderId="0" xfId="0" applyNumberFormat="true" applyFont="true" applyFill="true" applyAlignment="true"/>
    <xf numFmtId="0" fontId="6" fillId="0" borderId="0" xfId="0" applyFont="true" applyFill="true" applyAlignment="true"/>
    <xf numFmtId="0" fontId="12" fillId="0" borderId="0" xfId="0" applyFont="true" applyFill="true" applyAlignment="true">
      <alignment horizontal="center" vertical="center"/>
    </xf>
    <xf numFmtId="181" fontId="14" fillId="0" borderId="0" xfId="0" applyNumberFormat="true" applyFont="true" applyFill="true" applyAlignment="true">
      <alignment horizontal="center" vertical="center"/>
    </xf>
    <xf numFmtId="179" fontId="16" fillId="0" borderId="0" xfId="0" applyNumberFormat="true" applyFont="true" applyFill="true" applyAlignment="true">
      <alignment vertical="center"/>
    </xf>
    <xf numFmtId="181" fontId="16" fillId="0" borderId="4" xfId="0" applyNumberFormat="true" applyFont="true" applyFill="true" applyBorder="true" applyAlignment="true">
      <alignment horizontal="left"/>
    </xf>
    <xf numFmtId="179" fontId="25" fillId="0" borderId="2" xfId="0" applyNumberFormat="true" applyFont="true" applyFill="true" applyBorder="true" applyAlignment="true">
      <alignment horizontal="center" vertical="center" wrapText="true"/>
    </xf>
    <xf numFmtId="0" fontId="25" fillId="0" borderId="2" xfId="0" applyFont="true" applyFill="true" applyBorder="true" applyAlignment="true">
      <alignment horizontal="center" vertical="center" wrapText="true"/>
    </xf>
    <xf numFmtId="181" fontId="25" fillId="0" borderId="1" xfId="0" applyNumberFormat="true" applyFont="true" applyFill="true" applyBorder="true" applyAlignment="true">
      <alignment horizontal="center" vertical="center" wrapText="true"/>
    </xf>
    <xf numFmtId="181" fontId="25" fillId="0" borderId="6" xfId="0" applyNumberFormat="true" applyFont="true" applyFill="true" applyBorder="true" applyAlignment="true">
      <alignment horizontal="center" vertical="center"/>
    </xf>
    <xf numFmtId="181" fontId="25" fillId="0" borderId="7" xfId="0" applyNumberFormat="true" applyFont="true" applyFill="true" applyBorder="true" applyAlignment="true">
      <alignment horizontal="center" vertical="center" wrapText="true"/>
    </xf>
    <xf numFmtId="181" fontId="25" fillId="0" borderId="5" xfId="0" applyNumberFormat="true" applyFont="true" applyFill="true" applyBorder="true" applyAlignment="true">
      <alignment horizontal="center" vertical="center" wrapText="true"/>
    </xf>
    <xf numFmtId="179" fontId="25" fillId="0" borderId="2" xfId="0" applyNumberFormat="true" applyFont="true" applyFill="true" applyBorder="true" applyAlignment="true">
      <alignment horizontal="center" vertical="center"/>
    </xf>
    <xf numFmtId="181" fontId="25" fillId="0" borderId="2" xfId="0" applyNumberFormat="true" applyFont="true" applyFill="true" applyBorder="true" applyAlignment="true">
      <alignment vertical="center"/>
    </xf>
    <xf numFmtId="182" fontId="25" fillId="0" borderId="2" xfId="0" applyNumberFormat="true" applyFont="true" applyFill="true" applyBorder="true" applyAlignment="true">
      <alignment horizontal="center" vertical="center" wrapText="true"/>
    </xf>
    <xf numFmtId="182" fontId="25" fillId="0" borderId="2" xfId="0" applyNumberFormat="true" applyFont="true" applyFill="true" applyBorder="true" applyAlignment="true">
      <alignment vertical="center" wrapText="true"/>
    </xf>
    <xf numFmtId="179" fontId="26" fillId="0" borderId="2" xfId="0" applyNumberFormat="true" applyFont="true" applyFill="true" applyBorder="true" applyAlignment="true">
      <alignment horizontal="center" vertical="center"/>
    </xf>
    <xf numFmtId="0" fontId="27" fillId="0" borderId="2" xfId="0" applyFont="true" applyFill="true" applyBorder="true" applyAlignment="true">
      <alignment vertical="center" wrapText="true"/>
    </xf>
    <xf numFmtId="181" fontId="26" fillId="0" borderId="2" xfId="0" applyNumberFormat="true" applyFont="true" applyFill="true" applyBorder="true" applyAlignment="true">
      <alignment vertical="center"/>
    </xf>
    <xf numFmtId="181" fontId="25" fillId="0" borderId="8" xfId="0" applyNumberFormat="true" applyFont="true" applyFill="true" applyBorder="true" applyAlignment="true">
      <alignment horizontal="center" vertical="center"/>
    </xf>
    <xf numFmtId="181" fontId="25" fillId="0" borderId="9" xfId="0" applyNumberFormat="true" applyFont="true" applyFill="true" applyBorder="true" applyAlignment="true">
      <alignment horizontal="center" vertical="center"/>
    </xf>
    <xf numFmtId="0" fontId="6" fillId="0" borderId="0" xfId="0" applyFont="true" applyFill="true" applyAlignment="true">
      <alignment horizontal="right"/>
    </xf>
    <xf numFmtId="178" fontId="25" fillId="0" borderId="1" xfId="0" applyNumberFormat="true" applyFont="true" applyFill="true" applyBorder="true" applyAlignment="true">
      <alignment horizontal="center" vertical="center" wrapText="true"/>
    </xf>
    <xf numFmtId="0" fontId="17" fillId="0" borderId="0" xfId="0" applyFont="true" applyFill="true" applyBorder="true" applyAlignment="true"/>
    <xf numFmtId="178" fontId="25" fillId="0" borderId="7" xfId="0" applyNumberFormat="true" applyFont="true" applyFill="true" applyBorder="true" applyAlignment="true">
      <alignment horizontal="center" vertical="center" wrapText="true"/>
    </xf>
    <xf numFmtId="178" fontId="25" fillId="0" borderId="5" xfId="0" applyNumberFormat="true" applyFont="true" applyFill="true" applyBorder="true" applyAlignment="true">
      <alignment horizontal="center" vertical="center" wrapText="true"/>
    </xf>
    <xf numFmtId="183" fontId="25" fillId="0" borderId="2" xfId="0" applyNumberFormat="true" applyFont="true" applyFill="true" applyBorder="true" applyAlignment="true"/>
    <xf numFmtId="0" fontId="14" fillId="0" borderId="0" xfId="0" applyFont="true" applyFill="true" applyBorder="true" applyAlignment="true"/>
    <xf numFmtId="182" fontId="25" fillId="0" borderId="2" xfId="0" applyNumberFormat="true" applyFont="true" applyFill="true" applyBorder="true" applyAlignment="true"/>
    <xf numFmtId="182" fontId="14" fillId="0" borderId="0" xfId="0" applyNumberFormat="true" applyFont="true" applyFill="true" applyBorder="true" applyAlignment="true"/>
    <xf numFmtId="182" fontId="17" fillId="0" borderId="0" xfId="0" applyNumberFormat="true" applyFont="true" applyFill="true" applyBorder="true" applyAlignment="true"/>
    <xf numFmtId="183" fontId="26" fillId="0" borderId="2" xfId="0" applyNumberFormat="true" applyFont="true" applyFill="true" applyBorder="true" applyAlignment="true"/>
    <xf numFmtId="0" fontId="6" fillId="0" borderId="0" xfId="0" applyFont="true" applyFill="true" applyBorder="true" applyAlignment="true"/>
    <xf numFmtId="183" fontId="26" fillId="0" borderId="0" xfId="0" applyNumberFormat="true" applyFont="true" applyFill="true" applyBorder="true" applyAlignment="true"/>
    <xf numFmtId="181" fontId="26" fillId="0" borderId="2" xfId="0" applyNumberFormat="true" applyFont="true" applyFill="true" applyBorder="true" applyAlignment="true">
      <alignment vertical="center" wrapText="true"/>
    </xf>
    <xf numFmtId="182" fontId="25" fillId="0" borderId="1" xfId="0" applyNumberFormat="true" applyFont="true" applyFill="true" applyBorder="true" applyAlignment="true"/>
    <xf numFmtId="179" fontId="25" fillId="0" borderId="1" xfId="0" applyNumberFormat="true" applyFont="true" applyFill="true" applyBorder="true" applyAlignment="true">
      <alignment horizontal="center" vertical="center"/>
    </xf>
    <xf numFmtId="177" fontId="25" fillId="0" borderId="2" xfId="0" applyNumberFormat="true" applyFont="true" applyFill="true" applyBorder="true" applyAlignment="true">
      <alignment horizontal="center" vertical="center" wrapText="true"/>
    </xf>
    <xf numFmtId="181" fontId="25" fillId="0" borderId="1" xfId="0" applyNumberFormat="true" applyFont="true" applyFill="true" applyBorder="true" applyAlignment="true">
      <alignment vertical="center"/>
    </xf>
    <xf numFmtId="177" fontId="25" fillId="0" borderId="2" xfId="0" applyNumberFormat="true" applyFont="true" applyFill="true" applyBorder="true" applyAlignment="true">
      <alignment vertical="center" wrapText="true"/>
    </xf>
    <xf numFmtId="49" fontId="27" fillId="0" borderId="2" xfId="5" applyNumberFormat="true" applyFont="true" applyFill="true" applyBorder="true" applyAlignment="true">
      <alignment vertical="center" wrapText="true"/>
    </xf>
    <xf numFmtId="182" fontId="26" fillId="0" borderId="2" xfId="0" applyNumberFormat="true" applyFont="true" applyFill="true" applyBorder="true" applyAlignment="true">
      <alignment vertical="center" wrapText="true"/>
    </xf>
    <xf numFmtId="182" fontId="26" fillId="0" borderId="2" xfId="0" applyNumberFormat="true" applyFont="true" applyFill="true" applyBorder="true" applyAlignment="true"/>
    <xf numFmtId="181" fontId="16" fillId="0" borderId="2" xfId="0" applyNumberFormat="true" applyFont="true" applyFill="true" applyBorder="true" applyAlignment="true"/>
    <xf numFmtId="177" fontId="26" fillId="0" borderId="1" xfId="0" applyNumberFormat="true" applyFont="true" applyFill="true" applyBorder="true" applyAlignment="true"/>
    <xf numFmtId="183" fontId="26" fillId="0" borderId="9" xfId="0" applyNumberFormat="true" applyFont="true" applyFill="true" applyBorder="true" applyAlignment="true"/>
    <xf numFmtId="182" fontId="26" fillId="0" borderId="9" xfId="0" applyNumberFormat="true" applyFont="true" applyFill="true" applyBorder="true" applyAlignment="true"/>
    <xf numFmtId="179" fontId="6" fillId="0" borderId="2" xfId="0" applyNumberFormat="true" applyFont="true" applyFill="true" applyBorder="true" applyAlignment="true">
      <alignment horizontal="center" vertical="center"/>
    </xf>
    <xf numFmtId="0" fontId="6" fillId="0" borderId="2" xfId="0" applyFont="true" applyFill="true" applyBorder="true" applyAlignment="true"/>
    <xf numFmtId="0" fontId="23" fillId="0" borderId="2" xfId="0" applyFont="true" applyFill="true" applyBorder="true" applyAlignment="true"/>
    <xf numFmtId="181" fontId="28" fillId="0" borderId="0" xfId="0" applyNumberFormat="true" applyFont="true" applyFill="true">
      <alignment vertical="center"/>
    </xf>
    <xf numFmtId="0" fontId="11" fillId="0" borderId="0" xfId="0" applyFont="true" applyFill="true" applyBorder="true" applyAlignment="true">
      <alignment vertical="center"/>
    </xf>
    <xf numFmtId="0" fontId="17" fillId="0" borderId="0" xfId="0" applyFont="true" applyFill="true" applyBorder="true" applyAlignment="true">
      <alignment vertical="center"/>
    </xf>
    <xf numFmtId="0" fontId="11" fillId="0" borderId="0" xfId="0" applyFont="true" applyFill="true" applyBorder="true" applyAlignment="true">
      <alignment wrapText="true"/>
    </xf>
    <xf numFmtId="181" fontId="15" fillId="0" borderId="2" xfId="5" applyNumberFormat="true" applyFont="true" applyFill="true" applyBorder="true" applyAlignment="true">
      <alignment vertical="center"/>
    </xf>
    <xf numFmtId="0" fontId="8" fillId="0" borderId="10" xfId="0" applyFont="true" applyFill="true" applyBorder="true" applyAlignment="true">
      <alignment vertical="center" wrapText="true"/>
    </xf>
    <xf numFmtId="0" fontId="11" fillId="0" borderId="2"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18" fillId="0" borderId="0" xfId="0" applyFont="true" applyFill="true" applyBorder="true" applyAlignment="true">
      <alignment horizontal="right"/>
    </xf>
    <xf numFmtId="0" fontId="20" fillId="0" borderId="2" xfId="120" applyFont="true" applyFill="true" applyBorder="true" applyAlignment="true">
      <alignment horizontal="center" vertical="center" wrapText="true"/>
    </xf>
    <xf numFmtId="180" fontId="27" fillId="0" borderId="2" xfId="0" applyNumberFormat="true" applyFont="true" applyFill="true" applyBorder="true" applyAlignment="true">
      <alignment horizontal="center" vertical="center"/>
    </xf>
    <xf numFmtId="177" fontId="11" fillId="0" borderId="0" xfId="0" applyNumberFormat="true" applyFont="true" applyFill="true" applyBorder="true" applyAlignment="true">
      <alignment horizontal="center" vertical="center"/>
    </xf>
    <xf numFmtId="0" fontId="11" fillId="0" borderId="0" xfId="0" applyFont="true" applyFill="true" applyAlignment="true"/>
    <xf numFmtId="182" fontId="14" fillId="0" borderId="0" xfId="0" applyNumberFormat="true" applyFont="true" applyFill="true" applyBorder="true" applyAlignment="true"/>
    <xf numFmtId="181" fontId="6" fillId="0" borderId="0" xfId="0" applyNumberFormat="true" applyFont="true" applyFill="true" applyAlignment="true">
      <alignment horizontal="center" vertical="center"/>
    </xf>
    <xf numFmtId="181" fontId="12" fillId="0" borderId="0" xfId="0" applyNumberFormat="true" applyFont="true" applyFill="true" applyAlignment="true">
      <alignment horizontal="center" vertical="center"/>
    </xf>
    <xf numFmtId="179" fontId="16" fillId="0" borderId="0" xfId="0" applyNumberFormat="true" applyFont="true" applyFill="true" applyAlignment="true">
      <alignment horizontal="left" vertical="center"/>
    </xf>
    <xf numFmtId="181" fontId="11" fillId="0" borderId="4" xfId="0" applyNumberFormat="true" applyFont="true" applyFill="true" applyBorder="true" applyAlignment="true">
      <alignment horizontal="center" vertical="center"/>
    </xf>
    <xf numFmtId="181" fontId="25" fillId="0" borderId="2" xfId="0" applyNumberFormat="true" applyFont="true" applyFill="true" applyBorder="true" applyAlignment="true">
      <alignment horizontal="center" vertical="center"/>
    </xf>
    <xf numFmtId="0" fontId="26" fillId="0" borderId="2" xfId="0" applyFont="true" applyFill="true" applyBorder="true" applyAlignment="true">
      <alignment vertical="center" wrapText="true"/>
    </xf>
    <xf numFmtId="181" fontId="26" fillId="0" borderId="2" xfId="0" applyNumberFormat="true" applyFont="true" applyFill="true" applyBorder="true" applyAlignment="true">
      <alignment horizontal="center" vertical="center"/>
    </xf>
    <xf numFmtId="181" fontId="14" fillId="0" borderId="2" xfId="0" applyNumberFormat="true" applyFont="true" applyFill="true" applyBorder="true" applyAlignment="true">
      <alignment horizontal="center" vertical="center"/>
    </xf>
    <xf numFmtId="0" fontId="26" fillId="0" borderId="2" xfId="0" applyFont="true" applyFill="true" applyBorder="true" applyAlignment="true">
      <alignment horizontal="center" vertical="center" wrapText="true"/>
    </xf>
    <xf numFmtId="49" fontId="14" fillId="0" borderId="0" xfId="0" applyNumberFormat="true" applyFont="true" applyFill="true" applyBorder="true" applyAlignment="true">
      <alignment horizontal="center" vertical="center"/>
    </xf>
    <xf numFmtId="181" fontId="25" fillId="0" borderId="1" xfId="0" applyNumberFormat="true" applyFont="true" applyFill="true" applyBorder="true" applyAlignment="true">
      <alignment horizontal="center" vertical="center"/>
    </xf>
    <xf numFmtId="182" fontId="26" fillId="0" borderId="2" xfId="0" applyNumberFormat="true" applyFont="true" applyFill="true" applyBorder="true" applyAlignment="true">
      <alignment horizontal="center"/>
    </xf>
    <xf numFmtId="0" fontId="24" fillId="0" borderId="2" xfId="0" applyFont="true" applyFill="true" applyBorder="true" applyAlignment="true"/>
    <xf numFmtId="0" fontId="16" fillId="0" borderId="2" xfId="0" applyFont="true" applyFill="true" applyBorder="true" applyAlignment="true"/>
    <xf numFmtId="49" fontId="11" fillId="0" borderId="0" xfId="0" applyNumberFormat="true" applyFont="true" applyFill="true" applyBorder="true" applyAlignment="true">
      <alignment horizontal="center" vertical="center"/>
    </xf>
    <xf numFmtId="180" fontId="11" fillId="0" borderId="0" xfId="0" applyNumberFormat="true" applyFont="true" applyFill="true" applyBorder="true" applyAlignment="true"/>
    <xf numFmtId="0" fontId="16" fillId="0" borderId="0" xfId="0" applyFont="true" applyFill="true" applyBorder="true" applyAlignment="true">
      <alignment wrapText="true"/>
    </xf>
    <xf numFmtId="49" fontId="16" fillId="0" borderId="0" xfId="0" applyNumberFormat="true" applyFont="true" applyFill="true" applyBorder="true" applyAlignment="true">
      <alignment vertical="center"/>
    </xf>
    <xf numFmtId="0" fontId="16" fillId="0" borderId="0" xfId="0" applyFont="true" applyFill="true" applyBorder="true" applyAlignment="true">
      <alignment vertical="center"/>
    </xf>
    <xf numFmtId="182" fontId="16" fillId="0" borderId="0" xfId="0" applyNumberFormat="true" applyFont="true" applyFill="true" applyBorder="true" applyAlignment="true">
      <alignment vertical="center"/>
    </xf>
    <xf numFmtId="0" fontId="29" fillId="0" borderId="0" xfId="0" applyFont="true" applyFill="true" applyBorder="true" applyAlignment="true" applyProtection="true">
      <alignment horizontal="center"/>
      <protection locked="false"/>
    </xf>
    <xf numFmtId="31" fontId="14" fillId="0" borderId="4" xfId="0" applyNumberFormat="true" applyFont="true" applyFill="true" applyBorder="true" applyAlignment="true">
      <alignment horizontal="left" wrapText="true"/>
    </xf>
    <xf numFmtId="31" fontId="14" fillId="0" borderId="4" xfId="0" applyNumberFormat="true" applyFont="true" applyFill="true" applyBorder="true" applyAlignment="true">
      <alignment wrapText="true"/>
    </xf>
    <xf numFmtId="0" fontId="13" fillId="0" borderId="1" xfId="0" applyFont="true" applyFill="true" applyBorder="true" applyAlignment="true" applyProtection="true">
      <alignment horizontal="center" vertical="center" wrapText="true"/>
      <protection locked="false"/>
    </xf>
    <xf numFmtId="176" fontId="13" fillId="0" borderId="10" xfId="0" applyNumberFormat="true" applyFont="true" applyFill="true" applyBorder="true" applyAlignment="true" applyProtection="true">
      <alignment horizontal="center" vertical="center" wrapText="true"/>
      <protection locked="false"/>
    </xf>
    <xf numFmtId="176" fontId="13" fillId="0" borderId="11" xfId="0" applyNumberFormat="true" applyFont="true" applyFill="true" applyBorder="true" applyAlignment="true" applyProtection="true">
      <alignment horizontal="center" vertical="center" wrapText="true"/>
      <protection locked="false"/>
    </xf>
    <xf numFmtId="176" fontId="13" fillId="0" borderId="12" xfId="0" applyNumberFormat="true" applyFont="true" applyFill="true" applyBorder="true" applyAlignment="true" applyProtection="true">
      <alignment horizontal="center" vertical="center" wrapText="true"/>
      <protection locked="false"/>
    </xf>
    <xf numFmtId="0" fontId="13" fillId="0" borderId="7" xfId="0" applyFont="true" applyFill="true" applyBorder="true" applyAlignment="true" applyProtection="true">
      <alignment horizontal="center" vertical="center" wrapText="true"/>
      <protection locked="false"/>
    </xf>
    <xf numFmtId="176" fontId="13" fillId="0" borderId="2" xfId="0" applyNumberFormat="true" applyFont="true" applyFill="true" applyBorder="true" applyAlignment="true" applyProtection="true">
      <alignment horizontal="center" vertical="center" wrapText="true"/>
      <protection locked="false"/>
    </xf>
    <xf numFmtId="0" fontId="17" fillId="0" borderId="2" xfId="0" applyFont="true" applyFill="true" applyBorder="true" applyAlignment="true" applyProtection="true">
      <alignment vertical="center" wrapText="true"/>
      <protection locked="false"/>
    </xf>
    <xf numFmtId="181" fontId="8" fillId="0" borderId="2" xfId="0" applyNumberFormat="true" applyFont="true" applyFill="true" applyBorder="true" applyAlignment="true" applyProtection="true">
      <alignment horizontal="center" vertical="center"/>
    </xf>
    <xf numFmtId="181" fontId="8" fillId="0" borderId="5" xfId="0" applyNumberFormat="true" applyFont="true" applyFill="true" applyBorder="true" applyAlignment="true" applyProtection="true">
      <alignment horizontal="center" vertical="center"/>
    </xf>
    <xf numFmtId="181" fontId="8" fillId="0" borderId="2" xfId="0" applyNumberFormat="true" applyFont="true" applyFill="true" applyBorder="true" applyAlignment="true">
      <alignment horizontal="center" vertical="center"/>
    </xf>
    <xf numFmtId="0" fontId="17" fillId="0" borderId="2" xfId="0" applyNumberFormat="true" applyFont="true" applyFill="true" applyBorder="true" applyAlignment="true">
      <alignment horizontal="left" vertical="center" wrapText="true"/>
    </xf>
    <xf numFmtId="0" fontId="11" fillId="0" borderId="2" xfId="0" applyFont="true" applyFill="true" applyBorder="true" applyAlignment="true" applyProtection="true">
      <alignment vertical="center" wrapText="true"/>
      <protection locked="false"/>
    </xf>
    <xf numFmtId="0" fontId="11" fillId="0" borderId="2" xfId="0" applyFont="true" applyFill="true" applyBorder="true" applyAlignment="true">
      <alignment horizontal="left" vertical="center" wrapText="true"/>
    </xf>
    <xf numFmtId="0" fontId="17" fillId="0" borderId="2" xfId="0" applyFont="true" applyFill="true" applyBorder="true" applyAlignment="true">
      <alignment vertical="center" wrapText="true"/>
    </xf>
    <xf numFmtId="0" fontId="11" fillId="0" borderId="2" xfId="0" applyFont="true" applyFill="true" applyBorder="true" applyAlignment="true">
      <alignment vertical="center" wrapText="true"/>
    </xf>
    <xf numFmtId="0" fontId="17" fillId="0" borderId="2" xfId="0" applyFont="true" applyFill="true" applyBorder="true" applyAlignment="true">
      <alignment horizontal="left" vertical="center" wrapText="true"/>
    </xf>
    <xf numFmtId="0" fontId="11" fillId="0" borderId="2" xfId="0" applyFont="true" applyFill="true" applyBorder="true" applyAlignment="true" applyProtection="true">
      <alignment horizontal="left" vertical="center" wrapText="true"/>
      <protection locked="false"/>
    </xf>
    <xf numFmtId="31" fontId="14" fillId="0" borderId="4" xfId="0" applyNumberFormat="true" applyFont="true" applyFill="true" applyBorder="true" applyAlignment="true">
      <alignment horizontal="center" wrapText="true"/>
    </xf>
    <xf numFmtId="181" fontId="8" fillId="0" borderId="2" xfId="0" applyNumberFormat="true" applyFont="true" applyFill="true" applyBorder="true" applyAlignment="true">
      <alignment horizontal="right" vertical="center"/>
    </xf>
    <xf numFmtId="182" fontId="14" fillId="0" borderId="0" xfId="0" applyNumberFormat="true" applyFont="true" applyFill="true" applyBorder="true" applyAlignment="true">
      <alignment horizontal="right" wrapText="true"/>
    </xf>
    <xf numFmtId="182" fontId="13" fillId="0" borderId="10" xfId="0" applyNumberFormat="true" applyFont="true" applyFill="true" applyBorder="true" applyAlignment="true" applyProtection="true">
      <alignment horizontal="center" vertical="center" wrapText="true"/>
      <protection locked="false"/>
    </xf>
    <xf numFmtId="182" fontId="13" fillId="0" borderId="11" xfId="0" applyNumberFormat="true" applyFont="true" applyFill="true" applyBorder="true" applyAlignment="true" applyProtection="true">
      <alignment horizontal="center" vertical="center" wrapText="true"/>
      <protection locked="false"/>
    </xf>
    <xf numFmtId="176" fontId="13" fillId="0" borderId="1" xfId="0" applyNumberFormat="true" applyFont="true" applyFill="true" applyBorder="true" applyAlignment="true" applyProtection="true">
      <alignment horizontal="center" vertical="center" wrapText="true"/>
      <protection locked="false"/>
    </xf>
    <xf numFmtId="182" fontId="13" fillId="0" borderId="2" xfId="0" applyNumberFormat="true" applyFont="true" applyFill="true" applyBorder="true" applyAlignment="true" applyProtection="true">
      <alignment horizontal="center" vertical="center" wrapText="true"/>
      <protection locked="false"/>
    </xf>
    <xf numFmtId="182" fontId="13" fillId="0" borderId="1" xfId="0" applyNumberFormat="true" applyFont="true" applyFill="true" applyBorder="true" applyAlignment="true" applyProtection="true">
      <alignment horizontal="center" vertical="center" wrapText="true"/>
      <protection locked="false"/>
    </xf>
    <xf numFmtId="181" fontId="8" fillId="0" borderId="5" xfId="0" applyNumberFormat="true" applyFont="true" applyFill="true" applyBorder="true" applyAlignment="true" applyProtection="true">
      <alignment horizontal="right" vertical="center"/>
    </xf>
    <xf numFmtId="182" fontId="8" fillId="0" borderId="2" xfId="0" applyNumberFormat="true" applyFont="true" applyFill="true" applyBorder="true" applyAlignment="true">
      <alignment horizontal="right" vertical="center"/>
    </xf>
    <xf numFmtId="182" fontId="8" fillId="0" borderId="5" xfId="0" applyNumberFormat="true" applyFont="true" applyFill="true" applyBorder="true" applyAlignment="true" applyProtection="true">
      <alignment horizontal="right" vertical="center"/>
    </xf>
    <xf numFmtId="182" fontId="14" fillId="0" borderId="4" xfId="0" applyNumberFormat="true" applyFont="true" applyFill="true" applyBorder="true" applyAlignment="true">
      <alignment horizontal="right" wrapText="true"/>
    </xf>
    <xf numFmtId="0" fontId="16" fillId="0" borderId="0" xfId="0" applyFont="true" applyFill="true" applyBorder="true" applyAlignment="true">
      <alignment horizontal="right" wrapText="true"/>
    </xf>
    <xf numFmtId="182" fontId="13" fillId="0" borderId="12" xfId="0" applyNumberFormat="true" applyFont="true" applyFill="true" applyBorder="true" applyAlignment="true" applyProtection="true">
      <alignment horizontal="center" vertical="center" wrapText="true"/>
      <protection locked="false"/>
    </xf>
    <xf numFmtId="176" fontId="13" fillId="0" borderId="0" xfId="0" applyNumberFormat="true" applyFont="true" applyFill="true" applyBorder="true" applyAlignment="true" applyProtection="true">
      <alignment horizontal="center" vertical="center" wrapText="true"/>
      <protection locked="false"/>
    </xf>
    <xf numFmtId="176" fontId="13" fillId="0" borderId="7" xfId="0" applyNumberFormat="true" applyFont="true" applyFill="true" applyBorder="true" applyAlignment="true" applyProtection="true">
      <alignment horizontal="center" vertical="center" wrapText="true"/>
      <protection locked="false"/>
    </xf>
    <xf numFmtId="0" fontId="16" fillId="0" borderId="2" xfId="0" applyFont="true" applyFill="true" applyBorder="true" applyAlignment="true">
      <alignment horizontal="center"/>
    </xf>
    <xf numFmtId="0" fontId="16" fillId="0" borderId="0" xfId="0" applyFont="true" applyFill="true" applyBorder="true" applyAlignment="true">
      <alignment horizontal="center"/>
    </xf>
    <xf numFmtId="0" fontId="16" fillId="0" borderId="6" xfId="0" applyFont="true" applyFill="true" applyBorder="true" applyAlignment="true">
      <alignment horizontal="center"/>
    </xf>
    <xf numFmtId="0" fontId="16" fillId="0" borderId="13" xfId="0" applyFont="true" applyFill="true" applyBorder="true" applyAlignment="true">
      <alignment horizontal="center"/>
    </xf>
    <xf numFmtId="0" fontId="0" fillId="0" borderId="0" xfId="0" applyFont="true" applyBorder="true" applyAlignment="true">
      <alignment horizontal="left" vertical="center"/>
    </xf>
    <xf numFmtId="0" fontId="16" fillId="0" borderId="0" xfId="0" applyFont="true" applyFill="true" applyBorder="true" applyAlignment="true">
      <alignment vertical="center" wrapText="true"/>
    </xf>
    <xf numFmtId="49" fontId="11" fillId="0" borderId="2" xfId="0" applyNumberFormat="true" applyFont="true" applyFill="true" applyBorder="true" applyAlignment="true" applyProtection="true">
      <alignment horizontal="left" vertical="center" wrapText="true"/>
      <protection locked="false"/>
    </xf>
    <xf numFmtId="180" fontId="8" fillId="0" borderId="2" xfId="0" applyNumberFormat="true" applyFont="true" applyFill="true" applyBorder="true" applyAlignment="true">
      <alignment horizontal="center" vertical="center"/>
    </xf>
    <xf numFmtId="180" fontId="16" fillId="0" borderId="2" xfId="0" applyNumberFormat="true" applyFont="true" applyFill="true" applyBorder="true" applyAlignment="true">
      <alignment horizontal="center"/>
    </xf>
    <xf numFmtId="180" fontId="16" fillId="0" borderId="0" xfId="0" applyNumberFormat="true" applyFont="true" applyFill="true" applyBorder="true" applyAlignment="true">
      <alignment horizontal="center"/>
    </xf>
    <xf numFmtId="0" fontId="11" fillId="0" borderId="0" xfId="0" applyFont="true" applyFill="true" applyBorder="true" applyAlignment="true">
      <alignment horizontal="left" vertical="center" wrapText="true"/>
    </xf>
    <xf numFmtId="182" fontId="11" fillId="0" borderId="0" xfId="0" applyNumberFormat="true" applyFont="true" applyFill="true" applyBorder="true" applyAlignment="true">
      <alignment horizontal="center" vertical="center"/>
    </xf>
    <xf numFmtId="0" fontId="29" fillId="0" borderId="0" xfId="120" applyFont="true" applyFill="true" applyBorder="true" applyAlignment="true">
      <alignment horizontal="center" vertical="center"/>
    </xf>
    <xf numFmtId="31" fontId="11" fillId="0" borderId="0" xfId="120" applyNumberFormat="true" applyFont="true" applyFill="true" applyAlignment="true">
      <alignment horizontal="left" wrapText="true"/>
    </xf>
    <xf numFmtId="31" fontId="11" fillId="0" borderId="0" xfId="120" applyNumberFormat="true" applyFont="true" applyFill="true" applyAlignment="true">
      <alignment horizontal="center" wrapText="true"/>
    </xf>
    <xf numFmtId="180" fontId="11" fillId="0" borderId="0" xfId="120" applyNumberFormat="true" applyFont="true" applyFill="true" applyBorder="true" applyAlignment="true">
      <alignment horizontal="center" vertical="center"/>
    </xf>
    <xf numFmtId="0" fontId="14" fillId="0" borderId="1" xfId="120" applyFont="true" applyFill="true" applyBorder="true" applyAlignment="true">
      <alignment horizontal="center" vertical="center" wrapText="true"/>
    </xf>
    <xf numFmtId="0" fontId="14" fillId="0" borderId="6" xfId="120" applyFont="true" applyFill="true" applyBorder="true" applyAlignment="true">
      <alignment horizontal="center" vertical="center" wrapText="true"/>
    </xf>
    <xf numFmtId="0" fontId="14" fillId="0" borderId="8" xfId="120" applyFont="true" applyFill="true" applyBorder="true" applyAlignment="true">
      <alignment horizontal="center" vertical="center" wrapText="true"/>
    </xf>
    <xf numFmtId="0" fontId="14" fillId="0" borderId="9" xfId="120" applyFont="true" applyFill="true" applyBorder="true" applyAlignment="true">
      <alignment horizontal="center" vertical="center" wrapText="true"/>
    </xf>
    <xf numFmtId="0" fontId="14" fillId="0" borderId="7" xfId="120" applyFont="true" applyFill="true" applyBorder="true" applyAlignment="true">
      <alignment horizontal="center" vertical="center" wrapText="true"/>
    </xf>
    <xf numFmtId="0" fontId="17" fillId="0" borderId="2" xfId="120" applyFont="true" applyFill="true" applyBorder="true" applyAlignment="true">
      <alignment horizontal="left" vertical="center" wrapText="true"/>
    </xf>
    <xf numFmtId="181" fontId="17" fillId="0" borderId="2" xfId="120" applyNumberFormat="true" applyFont="true" applyFill="true" applyBorder="true" applyAlignment="true">
      <alignment horizontal="center" vertical="center"/>
    </xf>
    <xf numFmtId="0" fontId="11" fillId="0" borderId="2" xfId="120" applyFont="true" applyFill="true" applyBorder="true" applyAlignment="true">
      <alignment horizontal="left" vertical="center" wrapText="true"/>
    </xf>
    <xf numFmtId="181" fontId="11" fillId="0" borderId="2" xfId="120" applyNumberFormat="true" applyFont="true" applyFill="true" applyBorder="true" applyAlignment="true">
      <alignment horizontal="center" vertical="center"/>
    </xf>
    <xf numFmtId="181" fontId="16" fillId="0" borderId="2" xfId="120" applyNumberFormat="true" applyFont="true" applyFill="true" applyBorder="true" applyAlignment="true">
      <alignment horizontal="center" vertical="center"/>
    </xf>
    <xf numFmtId="180" fontId="11" fillId="0" borderId="4" xfId="120" applyNumberFormat="true" applyFont="true" applyFill="true" applyBorder="true" applyAlignment="true">
      <alignment horizontal="center" vertical="center"/>
    </xf>
    <xf numFmtId="10" fontId="11" fillId="0" borderId="4" xfId="120" applyNumberFormat="true" applyFont="true" applyFill="true" applyBorder="true" applyAlignment="true">
      <alignment horizontal="center" vertical="center"/>
    </xf>
    <xf numFmtId="0" fontId="14" fillId="0" borderId="10" xfId="120" applyFont="true" applyFill="true" applyBorder="true" applyAlignment="true">
      <alignment horizontal="center" vertical="center" wrapText="true"/>
    </xf>
    <xf numFmtId="0" fontId="14" fillId="0" borderId="11" xfId="120" applyFont="true" applyFill="true" applyBorder="true" applyAlignment="true">
      <alignment horizontal="center" vertical="center" wrapText="true"/>
    </xf>
    <xf numFmtId="0" fontId="14" fillId="0" borderId="12" xfId="12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182" fontId="29" fillId="0" borderId="0" xfId="120" applyNumberFormat="true" applyFont="true" applyFill="true" applyBorder="true" applyAlignment="true">
      <alignment horizontal="center" vertical="center"/>
    </xf>
    <xf numFmtId="182" fontId="11" fillId="0" borderId="4" xfId="120" applyNumberFormat="true" applyFont="true" applyFill="true" applyBorder="true" applyAlignment="true">
      <alignment horizontal="center" vertical="center"/>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182" fontId="14" fillId="0" borderId="6" xfId="0" applyNumberFormat="true" applyFont="true" applyFill="true" applyBorder="true" applyAlignment="true">
      <alignment horizontal="center" vertical="center" wrapText="true"/>
    </xf>
    <xf numFmtId="182" fontId="14" fillId="0" borderId="8" xfId="0" applyNumberFormat="true" applyFont="true" applyFill="true" applyBorder="true" applyAlignment="true">
      <alignment horizontal="center" vertical="center" wrapText="true"/>
    </xf>
    <xf numFmtId="182" fontId="14" fillId="0" borderId="2" xfId="120" applyNumberFormat="true" applyFont="true" applyFill="true" applyBorder="true" applyAlignment="true">
      <alignment horizontal="center" vertical="center" wrapText="true"/>
    </xf>
    <xf numFmtId="182" fontId="17" fillId="0" borderId="2" xfId="120" applyNumberFormat="true" applyFont="true" applyFill="true" applyBorder="true" applyAlignment="true">
      <alignment horizontal="center" vertical="center"/>
    </xf>
    <xf numFmtId="182" fontId="11" fillId="0" borderId="2" xfId="120" applyNumberFormat="true" applyFont="true" applyFill="true" applyBorder="true" applyAlignment="true">
      <alignment horizontal="center" vertical="center"/>
    </xf>
    <xf numFmtId="182" fontId="14" fillId="0" borderId="9" xfId="0" applyNumberFormat="true" applyFont="true" applyFill="true" applyBorder="true" applyAlignment="true">
      <alignment horizontal="center" vertical="center" wrapText="true"/>
    </xf>
    <xf numFmtId="10" fontId="11" fillId="0" borderId="0" xfId="73" applyNumberFormat="true" applyFont="true" applyFill="true" applyBorder="true" applyAlignment="true">
      <alignment horizontal="center" vertical="center"/>
    </xf>
  </cellXfs>
  <cellStyles count="126">
    <cellStyle name="常规" xfId="0" builtinId="0"/>
    <cellStyle name="强调 1 2" xfId="1"/>
    <cellStyle name="强调 1" xfId="2"/>
    <cellStyle name="好_2019年项目调整表最新2019.11.21修改1" xfId="3"/>
    <cellStyle name="好_2019年项目调整表最新2019.11.21修改" xfId="4"/>
    <cellStyle name="常规 22" xfId="5"/>
    <cellStyle name="常规 2 3" xfId="6"/>
    <cellStyle name="强调 3 2" xfId="7"/>
    <cellStyle name="常规 2 2 2" xfId="8"/>
    <cellStyle name="强调 3" xfId="9"/>
    <cellStyle name="常规 2 2" xfId="10"/>
    <cellStyle name="差_2019年项目调整表最新2019.11.21修改" xfId="11"/>
    <cellStyle name="差_2019年项目调整表最新2019.11.21李晓成" xfId="12"/>
    <cellStyle name="表标题 2" xfId="13"/>
    <cellStyle name="Accent6 - 60% 2" xfId="14"/>
    <cellStyle name="Accent6 - 60%" xfId="15"/>
    <cellStyle name="Accent6 - 20% 2" xfId="16"/>
    <cellStyle name="Accent5 3" xfId="17"/>
    <cellStyle name="超链接 3" xfId="18"/>
    <cellStyle name="Accent5 - 60% 2" xfId="19"/>
    <cellStyle name="Accent5 - 60%" xfId="20"/>
    <cellStyle name="货币[0]" xfId="21" builtinId="7"/>
    <cellStyle name="Accent5 - 40% 2" xfId="22"/>
    <cellStyle name="差" xfId="23" builtinId="27"/>
    <cellStyle name="Accent1 - 20%" xfId="24"/>
    <cellStyle name="Accent5 - 20% 2" xfId="25"/>
    <cellStyle name="Accent5 - 20%" xfId="26"/>
    <cellStyle name="Accent2 3" xfId="27"/>
    <cellStyle name="Accent5" xfId="28"/>
    <cellStyle name="千位分隔[0]" xfId="29" builtinId="6"/>
    <cellStyle name="Accent4 2" xfId="30"/>
    <cellStyle name="Accent2 - 60%" xfId="31"/>
    <cellStyle name="Accent4 - 60% 2" xfId="32"/>
    <cellStyle name="强调文字颜色 3" xfId="33" builtinId="37"/>
    <cellStyle name="40% - 强调文字颜色 3" xfId="34" builtinId="39"/>
    <cellStyle name="Accent4 - 60%" xfId="35"/>
    <cellStyle name="Accent6 - 40%" xfId="36"/>
    <cellStyle name="Accent4 - 20%" xfId="37"/>
    <cellStyle name="Accent4" xfId="38"/>
    <cellStyle name="Accent2 2" xfId="39"/>
    <cellStyle name="超链接" xfId="40" builtinId="8"/>
    <cellStyle name="Accent2 - 60% 2" xfId="41"/>
    <cellStyle name="好" xfId="42" builtinId="26"/>
    <cellStyle name="货币" xfId="43" builtinId="4"/>
    <cellStyle name="Accent2" xfId="44"/>
    <cellStyle name="Accent1 - 40%" xfId="45"/>
    <cellStyle name="常规 7" xfId="46"/>
    <cellStyle name="Accent3" xfId="47"/>
    <cellStyle name="Accent3 - 60% 2" xfId="48"/>
    <cellStyle name="Accent1" xfId="49"/>
    <cellStyle name="差_2019年项目调整表最新2019.11.21修改1" xfId="50"/>
    <cellStyle name="Accent1 3" xfId="51"/>
    <cellStyle name="Accent6" xfId="52"/>
    <cellStyle name="Accent1 - 60%" xfId="53"/>
    <cellStyle name="Accent2 - 40% 2" xfId="54"/>
    <cellStyle name="标题 4" xfId="55" builtinId="19"/>
    <cellStyle name="Accent1 - 60% 2" xfId="56"/>
    <cellStyle name="Accent6 2" xfId="57"/>
    <cellStyle name="Accent6 3" xfId="58"/>
    <cellStyle name="Accent1 - 40% 2" xfId="59"/>
    <cellStyle name="表标题" xfId="60"/>
    <cellStyle name="Accent5 2" xfId="61"/>
    <cellStyle name="60% - 强调文字颜色 1" xfId="62" builtinId="32"/>
    <cellStyle name="Accent2 - 40%" xfId="63"/>
    <cellStyle name="60% - 强调文字颜色 6" xfId="64" builtinId="52"/>
    <cellStyle name="20% - 强调文字颜色 4" xfId="65" builtinId="42"/>
    <cellStyle name="40% - 强调文字颜色 4" xfId="66" builtinId="43"/>
    <cellStyle name="强调文字颜色 4" xfId="67" builtinId="41"/>
    <cellStyle name="60% - 强调文字颜色 3" xfId="68" builtinId="40"/>
    <cellStyle name="输入" xfId="69" builtinId="20"/>
    <cellStyle name="20% - 强调文字颜色 3" xfId="70" builtinId="38"/>
    <cellStyle name="超链接 2" xfId="71"/>
    <cellStyle name="Accent4 3" xfId="72"/>
    <cellStyle name="百分比" xfId="73" builtinId="5"/>
    <cellStyle name="Accent6 - 20%" xfId="74"/>
    <cellStyle name="千位分隔" xfId="75" builtinId="3"/>
    <cellStyle name="60% - 强调文字颜色 2" xfId="76" builtinId="36"/>
    <cellStyle name="60% - 强调文字颜色 5" xfId="77" builtinId="48"/>
    <cellStyle name="40% - 强调文字颜色 2" xfId="78" builtinId="35"/>
    <cellStyle name="强调文字颜色 2" xfId="79" builtinId="33"/>
    <cellStyle name="强调 2" xfId="80"/>
    <cellStyle name="Accent3 - 40%" xfId="81"/>
    <cellStyle name="60% - 强调文字颜色 4" xfId="82" builtinId="44"/>
    <cellStyle name="好_2019年项目调整表最新2019.11.21李晓成" xfId="83"/>
    <cellStyle name="计算" xfId="84" builtinId="22"/>
    <cellStyle name="40% - 强调文字颜色 1" xfId="85" builtinId="31"/>
    <cellStyle name="强调文字颜色 1" xfId="86" builtinId="29"/>
    <cellStyle name="Accent6 - 40% 2" xfId="87"/>
    <cellStyle name="标题 3" xfId="88" builtinId="18"/>
    <cellStyle name="适中" xfId="89" builtinId="28"/>
    <cellStyle name="输出" xfId="90" builtinId="21"/>
    <cellStyle name="20% - 强调文字颜色 5" xfId="91" builtinId="46"/>
    <cellStyle name="Accent5 - 40%" xfId="92"/>
    <cellStyle name="Accent2 - 20%" xfId="93"/>
    <cellStyle name="20% - 强调文字颜色 1" xfId="94" builtinId="30"/>
    <cellStyle name="汇总" xfId="95" builtinId="25"/>
    <cellStyle name="Accent1 2" xfId="96"/>
    <cellStyle name="Accent4 - 20% 2" xfId="97"/>
    <cellStyle name="检查单元格" xfId="98" builtinId="23"/>
    <cellStyle name="Accent3 - 20%" xfId="99"/>
    <cellStyle name="标题 1" xfId="100" builtinId="16"/>
    <cellStyle name="Accent2 - 20% 2" xfId="101"/>
    <cellStyle name="解释性文本" xfId="102" builtinId="53"/>
    <cellStyle name="20% - 强调文字颜色 2" xfId="103" builtinId="34"/>
    <cellStyle name="Accent3 - 60%" xfId="104"/>
    <cellStyle name="Accent4 - 40%" xfId="105"/>
    <cellStyle name="Accent3 2" xfId="106"/>
    <cellStyle name="Accent1 - 20% 2" xfId="107"/>
    <cellStyle name="已访问的超链接" xfId="108" builtinId="9"/>
    <cellStyle name="标题" xfId="109" builtinId="15"/>
    <cellStyle name="Accent4 - 40% 2" xfId="110"/>
    <cellStyle name="警告文本" xfId="111" builtinId="11"/>
    <cellStyle name="注释" xfId="112" builtinId="10"/>
    <cellStyle name="20% - 强调文字颜色 6" xfId="113" builtinId="50"/>
    <cellStyle name="常规_2023年9-12大额资金需求情况表修改10.31" xfId="114"/>
    <cellStyle name="40% - 强调文字颜色 5" xfId="115" builtinId="47"/>
    <cellStyle name="强调文字颜色 5" xfId="116" builtinId="45"/>
    <cellStyle name="强调文字颜色 6" xfId="117" builtinId="49"/>
    <cellStyle name="40% - 强调文字颜色 6" xfId="118" builtinId="51"/>
    <cellStyle name="Accent3 - 20% 2" xfId="119"/>
    <cellStyle name="常规 2" xfId="120"/>
    <cellStyle name="标题 2" xfId="121" builtinId="17"/>
    <cellStyle name="Accent3 3" xfId="122"/>
    <cellStyle name="强调 2 2" xfId="123"/>
    <cellStyle name="Accent3 - 40% 2" xfId="124"/>
    <cellStyle name="链接单元格" xfId="125" builtinId="2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60"/>
  <sheetViews>
    <sheetView showZeros="0" tabSelected="1" workbookViewId="0">
      <selection activeCell="P69" sqref="P69"/>
    </sheetView>
  </sheetViews>
  <sheetFormatPr defaultColWidth="9" defaultRowHeight="14.25"/>
  <cols>
    <col min="1" max="1" width="15.375" style="205" customWidth="true"/>
    <col min="2" max="5" width="12.25" style="35" customWidth="true"/>
    <col min="6" max="6" width="11.5" style="35" customWidth="true"/>
    <col min="7" max="7" width="12.25" style="35" customWidth="true"/>
    <col min="8" max="8" width="15.375" style="35" customWidth="true"/>
    <col min="9" max="9" width="13.375" style="35" customWidth="true"/>
    <col min="10" max="10" width="11.25" style="35" customWidth="true"/>
    <col min="11" max="13" width="9.875" style="206" customWidth="true"/>
    <col min="14" max="14" width="9" style="35"/>
    <col min="15" max="15" width="14.125" style="35"/>
    <col min="16" max="17" width="9" style="35"/>
    <col min="18" max="19" width="12.625" style="35"/>
    <col min="20" max="20" width="13.75" style="35"/>
    <col min="21" max="16384" width="9" style="35"/>
  </cols>
  <sheetData>
    <row r="1" ht="20.25" spans="1:13">
      <c r="A1" s="207" t="s">
        <v>0</v>
      </c>
      <c r="B1" s="207"/>
      <c r="C1" s="207"/>
      <c r="D1" s="207"/>
      <c r="E1" s="207"/>
      <c r="F1" s="207"/>
      <c r="G1" s="207"/>
      <c r="H1" s="207"/>
      <c r="I1" s="207"/>
      <c r="J1" s="207"/>
      <c r="K1" s="227"/>
      <c r="L1" s="227"/>
      <c r="M1" s="227"/>
    </row>
    <row r="2" ht="22.5" customHeight="true" spans="1:13">
      <c r="A2" s="208" t="s">
        <v>1</v>
      </c>
      <c r="B2" s="209"/>
      <c r="C2" s="210"/>
      <c r="D2" s="210"/>
      <c r="E2" s="221" t="s">
        <v>2</v>
      </c>
      <c r="F2" s="221"/>
      <c r="G2" s="221"/>
      <c r="H2" s="222" t="s">
        <v>3</v>
      </c>
      <c r="I2" s="222"/>
      <c r="J2" s="222"/>
      <c r="K2" s="228"/>
      <c r="L2" s="228"/>
      <c r="M2" s="228"/>
    </row>
    <row r="3" ht="24" customHeight="true" spans="1:13">
      <c r="A3" s="211" t="s">
        <v>4</v>
      </c>
      <c r="B3" s="212" t="s">
        <v>5</v>
      </c>
      <c r="C3" s="213"/>
      <c r="D3" s="214"/>
      <c r="E3" s="223" t="s">
        <v>6</v>
      </c>
      <c r="F3" s="224"/>
      <c r="G3" s="225"/>
      <c r="H3" s="226" t="s">
        <v>7</v>
      </c>
      <c r="I3" s="229"/>
      <c r="J3" s="230"/>
      <c r="K3" s="231" t="s">
        <v>8</v>
      </c>
      <c r="L3" s="232"/>
      <c r="M3" s="236"/>
    </row>
    <row r="4" ht="24" customHeight="true" spans="1:13">
      <c r="A4" s="215"/>
      <c r="B4" s="42" t="s">
        <v>9</v>
      </c>
      <c r="C4" s="42" t="s">
        <v>10</v>
      </c>
      <c r="D4" s="42" t="s">
        <v>11</v>
      </c>
      <c r="E4" s="42" t="s">
        <v>9</v>
      </c>
      <c r="F4" s="42" t="s">
        <v>10</v>
      </c>
      <c r="G4" s="42" t="s">
        <v>11</v>
      </c>
      <c r="H4" s="42" t="s">
        <v>9</v>
      </c>
      <c r="I4" s="42" t="s">
        <v>10</v>
      </c>
      <c r="J4" s="42" t="s">
        <v>11</v>
      </c>
      <c r="K4" s="233" t="s">
        <v>9</v>
      </c>
      <c r="L4" s="233" t="s">
        <v>10</v>
      </c>
      <c r="M4" s="233" t="s">
        <v>11</v>
      </c>
    </row>
    <row r="5" s="56" customFormat="true" ht="41.1" customHeight="true" spans="1:13">
      <c r="A5" s="216" t="s">
        <v>12</v>
      </c>
      <c r="B5" s="217">
        <f>C5+D5</f>
        <v>2100593</v>
      </c>
      <c r="C5" s="217">
        <f t="shared" ref="C5:G5" si="0">C6+C11</f>
        <v>1572083</v>
      </c>
      <c r="D5" s="217">
        <f t="shared" si="0"/>
        <v>528510</v>
      </c>
      <c r="E5" s="217">
        <f t="shared" si="0"/>
        <v>1602442.440067</v>
      </c>
      <c r="F5" s="217">
        <f t="shared" si="0"/>
        <v>1052476.030067</v>
      </c>
      <c r="G5" s="217">
        <f t="shared" si="0"/>
        <v>549966.41</v>
      </c>
      <c r="H5" s="217">
        <f t="shared" ref="H5:H9" si="1">I5+J5</f>
        <v>-498150.559933</v>
      </c>
      <c r="I5" s="217">
        <f>F5-C5</f>
        <v>-519606.969933</v>
      </c>
      <c r="J5" s="217">
        <f>J6+J11</f>
        <v>21456.41</v>
      </c>
      <c r="K5" s="234">
        <f t="shared" ref="K5:K20" si="2">H5/B5*100</f>
        <v>-23.7147586387749</v>
      </c>
      <c r="L5" s="234">
        <f t="shared" ref="L5:L20" si="3">(F5-C5)/C5*100</f>
        <v>-33.0521333754643</v>
      </c>
      <c r="M5" s="234">
        <f t="shared" ref="M5:M14" si="4">(J5/D5)*100</f>
        <v>4.05979262454826</v>
      </c>
    </row>
    <row r="6" s="56" customFormat="true" ht="41.1" customHeight="true" spans="1:13">
      <c r="A6" s="216" t="s">
        <v>13</v>
      </c>
      <c r="B6" s="217">
        <f t="shared" ref="B6:G6" si="5">B7+B8</f>
        <v>1480593</v>
      </c>
      <c r="C6" s="217">
        <f t="shared" si="5"/>
        <v>1072083</v>
      </c>
      <c r="D6" s="217">
        <f t="shared" si="5"/>
        <v>408510</v>
      </c>
      <c r="E6" s="217">
        <f t="shared" si="5"/>
        <v>1390066.454314</v>
      </c>
      <c r="F6" s="217">
        <f t="shared" si="5"/>
        <v>987600.044314</v>
      </c>
      <c r="G6" s="217">
        <f t="shared" si="5"/>
        <v>402466.41</v>
      </c>
      <c r="H6" s="217">
        <f t="shared" si="1"/>
        <v>-90526.5456859999</v>
      </c>
      <c r="I6" s="217">
        <f>F6-C6</f>
        <v>-84482.9556859999</v>
      </c>
      <c r="J6" s="217">
        <f>G6-D6</f>
        <v>-6043.58999999997</v>
      </c>
      <c r="K6" s="234">
        <f t="shared" si="2"/>
        <v>-6.11420867760417</v>
      </c>
      <c r="L6" s="234">
        <f t="shared" si="3"/>
        <v>-7.88026259963081</v>
      </c>
      <c r="M6" s="234">
        <f t="shared" si="4"/>
        <v>-1.47942278034809</v>
      </c>
    </row>
    <row r="7" s="56" customFormat="true" ht="41.1" customHeight="true" spans="1:13">
      <c r="A7" s="216" t="s">
        <v>14</v>
      </c>
      <c r="B7" s="217">
        <f t="shared" ref="B7:G7" si="6">B12-B9</f>
        <v>530554</v>
      </c>
      <c r="C7" s="217">
        <f t="shared" si="6"/>
        <v>409619</v>
      </c>
      <c r="D7" s="217">
        <f t="shared" si="6"/>
        <v>120935</v>
      </c>
      <c r="E7" s="217">
        <f t="shared" si="6"/>
        <v>493112</v>
      </c>
      <c r="F7" s="217">
        <f t="shared" si="6"/>
        <v>371612</v>
      </c>
      <c r="G7" s="217">
        <f t="shared" si="6"/>
        <v>121500</v>
      </c>
      <c r="H7" s="217">
        <f t="shared" si="1"/>
        <v>-37442</v>
      </c>
      <c r="I7" s="217">
        <f t="shared" ref="I7:I9" si="7">F7-C7</f>
        <v>-38007</v>
      </c>
      <c r="J7" s="217">
        <f>G7-D7</f>
        <v>565.000000000029</v>
      </c>
      <c r="K7" s="234">
        <f t="shared" si="2"/>
        <v>-7.05715158117741</v>
      </c>
      <c r="L7" s="234">
        <f t="shared" si="3"/>
        <v>-9.27862232953061</v>
      </c>
      <c r="M7" s="234">
        <f t="shared" si="4"/>
        <v>0.467193120271244</v>
      </c>
    </row>
    <row r="8" s="56" customFormat="true" ht="41.1" customHeight="true" spans="1:13">
      <c r="A8" s="216" t="s">
        <v>15</v>
      </c>
      <c r="B8" s="217">
        <f t="shared" ref="B8:G8" si="8">B9+B10</f>
        <v>950039</v>
      </c>
      <c r="C8" s="217">
        <f t="shared" si="8"/>
        <v>662464</v>
      </c>
      <c r="D8" s="217">
        <f t="shared" si="8"/>
        <v>287575</v>
      </c>
      <c r="E8" s="217">
        <f t="shared" si="8"/>
        <v>896954.454314</v>
      </c>
      <c r="F8" s="217">
        <f t="shared" si="8"/>
        <v>615988.044314</v>
      </c>
      <c r="G8" s="217">
        <f t="shared" si="8"/>
        <v>280966.41</v>
      </c>
      <c r="H8" s="217">
        <f t="shared" si="1"/>
        <v>-53084.5456859999</v>
      </c>
      <c r="I8" s="217">
        <f t="shared" si="7"/>
        <v>-46475.9556859999</v>
      </c>
      <c r="J8" s="217">
        <f>G8-D8</f>
        <v>-6608.58999999997</v>
      </c>
      <c r="K8" s="234">
        <f t="shared" si="2"/>
        <v>-5.587617527912</v>
      </c>
      <c r="L8" s="234">
        <f t="shared" si="3"/>
        <v>-7.01561982024683</v>
      </c>
      <c r="M8" s="234">
        <f t="shared" si="4"/>
        <v>-2.29804051117099</v>
      </c>
    </row>
    <row r="9" ht="41.1" customHeight="true" spans="1:13">
      <c r="A9" s="218" t="s">
        <v>16</v>
      </c>
      <c r="B9" s="219">
        <f>C9+D9</f>
        <v>693859</v>
      </c>
      <c r="C9" s="219">
        <f t="shared" ref="C9:G9" si="9">C13*0.5+C20*0.4+C22*0.4+C23+C24+C25+C26+C27+C28+C29+C30+C31+C32</f>
        <v>512464</v>
      </c>
      <c r="D9" s="219">
        <f t="shared" si="9"/>
        <v>181395</v>
      </c>
      <c r="E9" s="219">
        <f t="shared" ref="E9:E11" si="10">F9+G9</f>
        <v>590919.41</v>
      </c>
      <c r="F9" s="219">
        <f t="shared" si="9"/>
        <v>413303</v>
      </c>
      <c r="G9" s="219">
        <f t="shared" si="9"/>
        <v>177616.41</v>
      </c>
      <c r="H9" s="219">
        <f t="shared" si="1"/>
        <v>-102939.59</v>
      </c>
      <c r="I9" s="219">
        <f t="shared" si="7"/>
        <v>-99161</v>
      </c>
      <c r="J9" s="219">
        <f t="shared" ref="J9:J11" si="11">G9-D9</f>
        <v>-3778.59</v>
      </c>
      <c r="K9" s="235">
        <f t="shared" si="2"/>
        <v>-14.8358081396941</v>
      </c>
      <c r="L9" s="235">
        <f t="shared" si="3"/>
        <v>-19.3498470136439</v>
      </c>
      <c r="M9" s="235">
        <f t="shared" si="4"/>
        <v>-2.08307285206318</v>
      </c>
    </row>
    <row r="10" ht="41.1" customHeight="true" spans="1:13">
      <c r="A10" s="218" t="s">
        <v>17</v>
      </c>
      <c r="B10" s="219">
        <f>C10+D10</f>
        <v>256180</v>
      </c>
      <c r="C10" s="219">
        <f t="shared" ref="C10:G10" si="12">C34</f>
        <v>150000</v>
      </c>
      <c r="D10" s="219">
        <f t="shared" si="12"/>
        <v>106180</v>
      </c>
      <c r="E10" s="219">
        <f t="shared" si="10"/>
        <v>306035.044314</v>
      </c>
      <c r="F10" s="219">
        <f t="shared" si="12"/>
        <v>202685.044314</v>
      </c>
      <c r="G10" s="219">
        <f t="shared" si="12"/>
        <v>103350</v>
      </c>
      <c r="H10" s="219">
        <f t="shared" ref="H10:J10" si="13">H35+H36+H37+H45+H46+H47+H48+H49</f>
        <v>49855.044314</v>
      </c>
      <c r="I10" s="219">
        <f t="shared" si="13"/>
        <v>52685.044314</v>
      </c>
      <c r="J10" s="219">
        <f t="shared" si="13"/>
        <v>-2830</v>
      </c>
      <c r="K10" s="235">
        <f t="shared" si="2"/>
        <v>19.4609432094621</v>
      </c>
      <c r="L10" s="235">
        <f t="shared" si="3"/>
        <v>35.123362876</v>
      </c>
      <c r="M10" s="235">
        <f t="shared" si="4"/>
        <v>-2.66528536447542</v>
      </c>
    </row>
    <row r="11" s="56" customFormat="true" ht="41.1" customHeight="true" spans="1:13">
      <c r="A11" s="216" t="s">
        <v>18</v>
      </c>
      <c r="B11" s="217">
        <f>B52+B56</f>
        <v>620000</v>
      </c>
      <c r="C11" s="217">
        <f>C52+C56</f>
        <v>500000</v>
      </c>
      <c r="D11" s="217">
        <f>D52+D56</f>
        <v>120000</v>
      </c>
      <c r="E11" s="217">
        <f t="shared" si="10"/>
        <v>212375.985753</v>
      </c>
      <c r="F11" s="217">
        <f>F51</f>
        <v>64875.985753</v>
      </c>
      <c r="G11" s="217">
        <f>G51</f>
        <v>147500</v>
      </c>
      <c r="H11" s="217">
        <f t="shared" ref="H11:H20" si="14">I11+J11</f>
        <v>-407624.014247</v>
      </c>
      <c r="I11" s="217">
        <f t="shared" ref="I11:I20" si="15">F11-C11</f>
        <v>-435124.014247</v>
      </c>
      <c r="J11" s="217">
        <f t="shared" si="11"/>
        <v>27500</v>
      </c>
      <c r="K11" s="234">
        <f t="shared" si="2"/>
        <v>-65.7458087495161</v>
      </c>
      <c r="L11" s="234">
        <f t="shared" si="3"/>
        <v>-87.0248028494</v>
      </c>
      <c r="M11" s="234">
        <f t="shared" si="4"/>
        <v>22.9166666666667</v>
      </c>
    </row>
    <row r="12" s="56" customFormat="true" ht="41.1" customHeight="true" spans="1:13">
      <c r="A12" s="216" t="s">
        <v>19</v>
      </c>
      <c r="B12" s="217">
        <f>B13+B17+B22+B23+B24+B25+B26+B27+B28+B29+B30+B31+B32+B33+B20</f>
        <v>1224413</v>
      </c>
      <c r="C12" s="217">
        <f t="shared" ref="C12:J12" si="16">C13+C17+C22+C23+C24+C25+C26+C27+C28+C29+C30+C31+C32+C33+C20</f>
        <v>922083</v>
      </c>
      <c r="D12" s="217">
        <f t="shared" si="16"/>
        <v>302330</v>
      </c>
      <c r="E12" s="217">
        <f t="shared" si="16"/>
        <v>1084031.41</v>
      </c>
      <c r="F12" s="217">
        <f t="shared" si="16"/>
        <v>784915</v>
      </c>
      <c r="G12" s="217">
        <f t="shared" si="16"/>
        <v>299116.41</v>
      </c>
      <c r="H12" s="217">
        <f t="shared" si="16"/>
        <v>-140381.59</v>
      </c>
      <c r="I12" s="217">
        <f t="shared" si="16"/>
        <v>-137168</v>
      </c>
      <c r="J12" s="217">
        <f t="shared" si="16"/>
        <v>-3213.59</v>
      </c>
      <c r="K12" s="234">
        <f t="shared" si="2"/>
        <v>-11.4652155767703</v>
      </c>
      <c r="L12" s="234">
        <f t="shared" si="3"/>
        <v>-14.8758842750598</v>
      </c>
      <c r="M12" s="234">
        <f t="shared" si="4"/>
        <v>-1.06294115701386</v>
      </c>
    </row>
    <row r="13" ht="41.1" customHeight="true" spans="1:13">
      <c r="A13" s="218" t="s">
        <v>20</v>
      </c>
      <c r="B13" s="219">
        <f t="shared" ref="B13:B20" si="17">C13+D13</f>
        <v>530440</v>
      </c>
      <c r="C13" s="219">
        <v>400000</v>
      </c>
      <c r="D13" s="219">
        <v>130440</v>
      </c>
      <c r="E13" s="219">
        <f t="shared" ref="E13:E20" si="18">F13+G13</f>
        <v>478000</v>
      </c>
      <c r="F13" s="219">
        <f>334400+10600</f>
        <v>345000</v>
      </c>
      <c r="G13" s="219">
        <v>133000</v>
      </c>
      <c r="H13" s="219">
        <f t="shared" si="14"/>
        <v>-52440</v>
      </c>
      <c r="I13" s="219">
        <f t="shared" si="15"/>
        <v>-55000</v>
      </c>
      <c r="J13" s="219">
        <f>G13-D13</f>
        <v>2560</v>
      </c>
      <c r="K13" s="235">
        <f t="shared" si="2"/>
        <v>-9.88613226755147</v>
      </c>
      <c r="L13" s="235">
        <f t="shared" si="3"/>
        <v>-13.75</v>
      </c>
      <c r="M13" s="235">
        <f t="shared" si="4"/>
        <v>1.96258816314014</v>
      </c>
    </row>
    <row r="14" ht="41.1" hidden="true" customHeight="true" spans="1:13">
      <c r="A14" s="218" t="s">
        <v>21</v>
      </c>
      <c r="B14" s="219">
        <f t="shared" si="17"/>
        <v>0</v>
      </c>
      <c r="C14" s="219"/>
      <c r="D14" s="219"/>
      <c r="E14" s="219">
        <f t="shared" si="18"/>
        <v>0</v>
      </c>
      <c r="F14" s="219"/>
      <c r="G14" s="219"/>
      <c r="H14" s="219">
        <f t="shared" si="14"/>
        <v>0</v>
      </c>
      <c r="I14" s="219">
        <f t="shared" si="15"/>
        <v>0</v>
      </c>
      <c r="J14" s="219">
        <f t="shared" ref="J14:J33" si="19">G14-D14</f>
        <v>0</v>
      </c>
      <c r="K14" s="235" t="e">
        <f t="shared" si="2"/>
        <v>#DIV/0!</v>
      </c>
      <c r="L14" s="235" t="e">
        <f t="shared" si="3"/>
        <v>#DIV/0!</v>
      </c>
      <c r="M14" s="235" t="e">
        <f t="shared" si="4"/>
        <v>#DIV/0!</v>
      </c>
    </row>
    <row r="15" ht="41.1" hidden="true" customHeight="true" spans="1:13">
      <c r="A15" s="218" t="s">
        <v>22</v>
      </c>
      <c r="B15" s="219">
        <f t="shared" si="17"/>
        <v>0</v>
      </c>
      <c r="C15" s="219"/>
      <c r="D15" s="219"/>
      <c r="E15" s="219">
        <f t="shared" si="18"/>
        <v>0</v>
      </c>
      <c r="F15" s="219"/>
      <c r="G15" s="219"/>
      <c r="H15" s="219">
        <f t="shared" si="14"/>
        <v>0</v>
      </c>
      <c r="I15" s="219">
        <f t="shared" si="15"/>
        <v>0</v>
      </c>
      <c r="J15" s="219">
        <f t="shared" si="19"/>
        <v>0</v>
      </c>
      <c r="K15" s="235" t="e">
        <f t="shared" si="2"/>
        <v>#DIV/0!</v>
      </c>
      <c r="L15" s="235" t="e">
        <f t="shared" si="3"/>
        <v>#DIV/0!</v>
      </c>
      <c r="M15" s="235">
        <v>0</v>
      </c>
    </row>
    <row r="16" ht="41.1" hidden="true" customHeight="true" spans="1:13">
      <c r="A16" s="218" t="s">
        <v>23</v>
      </c>
      <c r="B16" s="219">
        <f t="shared" si="17"/>
        <v>0</v>
      </c>
      <c r="C16" s="219"/>
      <c r="D16" s="219"/>
      <c r="E16" s="219">
        <f t="shared" si="18"/>
        <v>0</v>
      </c>
      <c r="F16" s="219"/>
      <c r="G16" s="219"/>
      <c r="H16" s="219">
        <f t="shared" si="14"/>
        <v>0</v>
      </c>
      <c r="I16" s="219">
        <f t="shared" si="15"/>
        <v>0</v>
      </c>
      <c r="J16" s="219">
        <f t="shared" si="19"/>
        <v>0</v>
      </c>
      <c r="K16" s="235" t="e">
        <f t="shared" si="2"/>
        <v>#DIV/0!</v>
      </c>
      <c r="L16" s="235" t="e">
        <f t="shared" si="3"/>
        <v>#DIV/0!</v>
      </c>
      <c r="M16" s="235">
        <v>0</v>
      </c>
    </row>
    <row r="17" ht="41.1" customHeight="true" spans="1:13">
      <c r="A17" s="218" t="s">
        <v>24</v>
      </c>
      <c r="B17" s="219">
        <f t="shared" si="17"/>
        <v>69334</v>
      </c>
      <c r="C17" s="219">
        <v>67619</v>
      </c>
      <c r="D17" s="219">
        <v>1715</v>
      </c>
      <c r="E17" s="219">
        <f t="shared" si="18"/>
        <v>78632</v>
      </c>
      <c r="F17" s="219">
        <f>65900+11732</f>
        <v>77632</v>
      </c>
      <c r="G17" s="219">
        <v>1000</v>
      </c>
      <c r="H17" s="219">
        <f t="shared" si="14"/>
        <v>9298</v>
      </c>
      <c r="I17" s="219">
        <f t="shared" si="15"/>
        <v>10013</v>
      </c>
      <c r="J17" s="219">
        <f t="shared" si="19"/>
        <v>-715</v>
      </c>
      <c r="K17" s="235">
        <f t="shared" si="2"/>
        <v>13.4104479764618</v>
      </c>
      <c r="L17" s="235">
        <f t="shared" si="3"/>
        <v>14.8079681746255</v>
      </c>
      <c r="M17" s="235">
        <f>(J17/D17)*100</f>
        <v>-41.6909620991254</v>
      </c>
    </row>
    <row r="18" ht="41.1" hidden="true" customHeight="true" spans="1:13">
      <c r="A18" s="218" t="s">
        <v>22</v>
      </c>
      <c r="B18" s="219">
        <f t="shared" si="17"/>
        <v>0</v>
      </c>
      <c r="C18" s="219"/>
      <c r="D18" s="219"/>
      <c r="E18" s="219">
        <f t="shared" si="18"/>
        <v>0</v>
      </c>
      <c r="F18" s="219"/>
      <c r="G18" s="219"/>
      <c r="H18" s="219">
        <f t="shared" si="14"/>
        <v>0</v>
      </c>
      <c r="I18" s="219">
        <f t="shared" si="15"/>
        <v>0</v>
      </c>
      <c r="J18" s="219">
        <f t="shared" si="19"/>
        <v>0</v>
      </c>
      <c r="K18" s="235" t="e">
        <f t="shared" si="2"/>
        <v>#DIV/0!</v>
      </c>
      <c r="L18" s="235" t="e">
        <f t="shared" si="3"/>
        <v>#DIV/0!</v>
      </c>
      <c r="M18" s="235">
        <v>0</v>
      </c>
    </row>
    <row r="19" ht="41.1" hidden="true" customHeight="true" spans="1:13">
      <c r="A19" s="218" t="s">
        <v>23</v>
      </c>
      <c r="B19" s="219">
        <f t="shared" si="17"/>
        <v>0</v>
      </c>
      <c r="C19" s="219"/>
      <c r="D19" s="219"/>
      <c r="E19" s="219">
        <f t="shared" si="18"/>
        <v>0</v>
      </c>
      <c r="F19" s="219"/>
      <c r="G19" s="219"/>
      <c r="H19" s="219">
        <f t="shared" si="14"/>
        <v>0</v>
      </c>
      <c r="I19" s="219">
        <f t="shared" si="15"/>
        <v>0</v>
      </c>
      <c r="J19" s="219">
        <f t="shared" si="19"/>
        <v>0</v>
      </c>
      <c r="K19" s="235" t="e">
        <f t="shared" si="2"/>
        <v>#DIV/0!</v>
      </c>
      <c r="L19" s="235" t="e">
        <f t="shared" si="3"/>
        <v>#DIV/0!</v>
      </c>
      <c r="M19" s="235">
        <v>0</v>
      </c>
    </row>
    <row r="20" ht="41.1" customHeight="true" spans="1:13">
      <c r="A20" s="218" t="s">
        <v>25</v>
      </c>
      <c r="B20" s="219">
        <f t="shared" si="17"/>
        <v>225000</v>
      </c>
      <c r="C20" s="219">
        <v>165000</v>
      </c>
      <c r="D20" s="219">
        <v>60000</v>
      </c>
      <c r="E20" s="219">
        <f t="shared" si="18"/>
        <v>193000</v>
      </c>
      <c r="F20" s="219">
        <v>133000</v>
      </c>
      <c r="G20" s="219">
        <v>60000</v>
      </c>
      <c r="H20" s="219">
        <f t="shared" si="14"/>
        <v>-32000</v>
      </c>
      <c r="I20" s="219">
        <f t="shared" si="15"/>
        <v>-32000</v>
      </c>
      <c r="J20" s="219">
        <f t="shared" si="19"/>
        <v>0</v>
      </c>
      <c r="K20" s="235">
        <f t="shared" si="2"/>
        <v>-14.2222222222222</v>
      </c>
      <c r="L20" s="235">
        <f t="shared" si="3"/>
        <v>-19.3939393939394</v>
      </c>
      <c r="M20" s="235">
        <f>(J20/D20)*100</f>
        <v>0</v>
      </c>
    </row>
    <row r="21" ht="41.1" hidden="true" customHeight="true" spans="1:13">
      <c r="A21" s="218" t="s">
        <v>23</v>
      </c>
      <c r="B21" s="219">
        <f t="shared" ref="B21:B50" si="20">C21+D21</f>
        <v>0</v>
      </c>
      <c r="C21" s="219"/>
      <c r="D21" s="219"/>
      <c r="E21" s="219">
        <f t="shared" ref="E21:E37" si="21">F21+G21</f>
        <v>0</v>
      </c>
      <c r="F21" s="219"/>
      <c r="G21" s="219">
        <v>0</v>
      </c>
      <c r="H21" s="219">
        <f t="shared" ref="H21:H33" si="22">I21+J21</f>
        <v>0</v>
      </c>
      <c r="I21" s="219">
        <f t="shared" ref="I21:I33" si="23">F21-C21</f>
        <v>0</v>
      </c>
      <c r="J21" s="219">
        <f t="shared" si="19"/>
        <v>0</v>
      </c>
      <c r="K21" s="235" t="e">
        <f t="shared" ref="K21:K43" si="24">H21/B21*100</f>
        <v>#DIV/0!</v>
      </c>
      <c r="L21" s="235" t="e">
        <f t="shared" ref="L21:L43" si="25">(F21-C21)/C21*100</f>
        <v>#DIV/0!</v>
      </c>
      <c r="M21" s="235">
        <v>0</v>
      </c>
    </row>
    <row r="22" ht="35.1" customHeight="true" spans="1:13">
      <c r="A22" s="218" t="s">
        <v>26</v>
      </c>
      <c r="B22" s="219">
        <f t="shared" si="20"/>
        <v>60000</v>
      </c>
      <c r="C22" s="219">
        <v>30000</v>
      </c>
      <c r="D22" s="219">
        <v>30000</v>
      </c>
      <c r="E22" s="219">
        <f t="shared" si="21"/>
        <v>57300</v>
      </c>
      <c r="F22" s="219">
        <v>27300</v>
      </c>
      <c r="G22" s="219">
        <v>30000</v>
      </c>
      <c r="H22" s="219">
        <f t="shared" si="22"/>
        <v>-2700</v>
      </c>
      <c r="I22" s="219">
        <f t="shared" si="23"/>
        <v>-2700</v>
      </c>
      <c r="J22" s="219">
        <f t="shared" si="19"/>
        <v>0</v>
      </c>
      <c r="K22" s="235">
        <f t="shared" si="24"/>
        <v>-4.5</v>
      </c>
      <c r="L22" s="235">
        <f t="shared" si="25"/>
        <v>-9</v>
      </c>
      <c r="M22" s="235">
        <f t="shared" ref="M22:M31" si="26">(J22/D22)*100</f>
        <v>0</v>
      </c>
    </row>
    <row r="23" ht="35.1" customHeight="true" spans="1:13">
      <c r="A23" s="218" t="s">
        <v>27</v>
      </c>
      <c r="B23" s="219">
        <f t="shared" si="20"/>
        <v>1014</v>
      </c>
      <c r="C23" s="219">
        <v>1000</v>
      </c>
      <c r="D23" s="219">
        <v>14</v>
      </c>
      <c r="E23" s="219">
        <f t="shared" si="21"/>
        <v>595.68</v>
      </c>
      <c r="F23" s="219">
        <v>580</v>
      </c>
      <c r="G23" s="219">
        <v>15.68</v>
      </c>
      <c r="H23" s="219">
        <f t="shared" si="22"/>
        <v>-418.32</v>
      </c>
      <c r="I23" s="219">
        <f t="shared" si="23"/>
        <v>-420</v>
      </c>
      <c r="J23" s="219">
        <f t="shared" si="19"/>
        <v>1.68</v>
      </c>
      <c r="K23" s="235">
        <f t="shared" si="24"/>
        <v>-41.2544378698225</v>
      </c>
      <c r="L23" s="235">
        <f t="shared" si="25"/>
        <v>-42</v>
      </c>
      <c r="M23" s="235">
        <f t="shared" si="26"/>
        <v>12</v>
      </c>
    </row>
    <row r="24" ht="35.1" customHeight="true" spans="1:13">
      <c r="A24" s="218" t="s">
        <v>28</v>
      </c>
      <c r="B24" s="219">
        <f t="shared" si="20"/>
        <v>35663</v>
      </c>
      <c r="C24" s="219">
        <v>30000</v>
      </c>
      <c r="D24" s="219">
        <v>5663</v>
      </c>
      <c r="E24" s="219">
        <f t="shared" si="21"/>
        <v>23350</v>
      </c>
      <c r="F24" s="219">
        <v>17650</v>
      </c>
      <c r="G24" s="219">
        <v>5700</v>
      </c>
      <c r="H24" s="219">
        <f t="shared" si="22"/>
        <v>-12313</v>
      </c>
      <c r="I24" s="219">
        <f t="shared" si="23"/>
        <v>-12350</v>
      </c>
      <c r="J24" s="219">
        <f t="shared" si="19"/>
        <v>37</v>
      </c>
      <c r="K24" s="235">
        <f t="shared" si="24"/>
        <v>-34.5259793062838</v>
      </c>
      <c r="L24" s="235">
        <f t="shared" si="25"/>
        <v>-41.1666666666667</v>
      </c>
      <c r="M24" s="235">
        <f t="shared" si="26"/>
        <v>0.65336394137383</v>
      </c>
    </row>
    <row r="25" ht="35.1" customHeight="true" spans="1:13">
      <c r="A25" s="218" t="s">
        <v>29</v>
      </c>
      <c r="B25" s="219">
        <f t="shared" si="20"/>
        <v>54282</v>
      </c>
      <c r="C25" s="219">
        <v>40000</v>
      </c>
      <c r="D25" s="219">
        <v>14282</v>
      </c>
      <c r="E25" s="219">
        <f t="shared" si="21"/>
        <v>45000</v>
      </c>
      <c r="F25" s="219">
        <v>25000</v>
      </c>
      <c r="G25" s="219">
        <v>20000</v>
      </c>
      <c r="H25" s="219">
        <f t="shared" si="22"/>
        <v>-9282</v>
      </c>
      <c r="I25" s="219">
        <f t="shared" si="23"/>
        <v>-15000</v>
      </c>
      <c r="J25" s="219">
        <f t="shared" si="19"/>
        <v>5718</v>
      </c>
      <c r="K25" s="235">
        <f t="shared" si="24"/>
        <v>-17.0995910246491</v>
      </c>
      <c r="L25" s="235">
        <f t="shared" si="25"/>
        <v>-37.5</v>
      </c>
      <c r="M25" s="235">
        <f t="shared" si="26"/>
        <v>40.0364094664613</v>
      </c>
    </row>
    <row r="26" ht="35.1" customHeight="true" spans="1:13">
      <c r="A26" s="218" t="s">
        <v>30</v>
      </c>
      <c r="B26" s="219">
        <f t="shared" si="20"/>
        <v>14634</v>
      </c>
      <c r="C26" s="219">
        <v>10000</v>
      </c>
      <c r="D26" s="219">
        <v>4634</v>
      </c>
      <c r="E26" s="219">
        <f t="shared" si="21"/>
        <v>13200</v>
      </c>
      <c r="F26" s="219">
        <v>7900</v>
      </c>
      <c r="G26" s="219">
        <v>5300</v>
      </c>
      <c r="H26" s="219">
        <f t="shared" si="22"/>
        <v>-1434</v>
      </c>
      <c r="I26" s="219">
        <f t="shared" si="23"/>
        <v>-2100</v>
      </c>
      <c r="J26" s="219">
        <f t="shared" si="19"/>
        <v>666</v>
      </c>
      <c r="K26" s="235">
        <f t="shared" si="24"/>
        <v>-9.79909799097991</v>
      </c>
      <c r="L26" s="235">
        <f t="shared" si="25"/>
        <v>-21</v>
      </c>
      <c r="M26" s="235">
        <f t="shared" si="26"/>
        <v>14.3720328010358</v>
      </c>
    </row>
    <row r="27" ht="35.1" customHeight="true" spans="1:13">
      <c r="A27" s="218" t="s">
        <v>31</v>
      </c>
      <c r="B27" s="219">
        <f t="shared" si="20"/>
        <v>11535</v>
      </c>
      <c r="C27" s="219">
        <v>10000</v>
      </c>
      <c r="D27" s="219">
        <v>1535</v>
      </c>
      <c r="E27" s="219">
        <f t="shared" si="21"/>
        <v>6200</v>
      </c>
      <c r="F27" s="219">
        <v>4500</v>
      </c>
      <c r="G27" s="219">
        <v>1700</v>
      </c>
      <c r="H27" s="219">
        <f t="shared" si="22"/>
        <v>-5335</v>
      </c>
      <c r="I27" s="219">
        <f t="shared" si="23"/>
        <v>-5500</v>
      </c>
      <c r="J27" s="219">
        <f t="shared" si="19"/>
        <v>165</v>
      </c>
      <c r="K27" s="235">
        <f t="shared" si="24"/>
        <v>-46.2505418292154</v>
      </c>
      <c r="L27" s="235">
        <f t="shared" si="25"/>
        <v>-55</v>
      </c>
      <c r="M27" s="235">
        <f t="shared" si="26"/>
        <v>10.7491856677524</v>
      </c>
    </row>
    <row r="28" ht="35.1" customHeight="true" spans="1:13">
      <c r="A28" s="218" t="s">
        <v>32</v>
      </c>
      <c r="B28" s="219">
        <f t="shared" si="20"/>
        <v>133808</v>
      </c>
      <c r="C28" s="219">
        <v>101470</v>
      </c>
      <c r="D28" s="219">
        <v>32338</v>
      </c>
      <c r="E28" s="219">
        <f t="shared" si="21"/>
        <v>120533</v>
      </c>
      <c r="F28" s="219">
        <f>91700-167</f>
        <v>91533</v>
      </c>
      <c r="G28" s="219">
        <v>29000</v>
      </c>
      <c r="H28" s="219">
        <f t="shared" si="22"/>
        <v>-13275</v>
      </c>
      <c r="I28" s="219">
        <f t="shared" si="23"/>
        <v>-9937</v>
      </c>
      <c r="J28" s="219">
        <f t="shared" si="19"/>
        <v>-3338</v>
      </c>
      <c r="K28" s="235">
        <f t="shared" si="24"/>
        <v>-9.92093148391725</v>
      </c>
      <c r="L28" s="235">
        <f t="shared" si="25"/>
        <v>-9.79304227850596</v>
      </c>
      <c r="M28" s="235">
        <f t="shared" si="26"/>
        <v>-10.3222215350362</v>
      </c>
    </row>
    <row r="29" s="56" customFormat="true" ht="35.1" customHeight="true" spans="1:13">
      <c r="A29" s="218" t="s">
        <v>33</v>
      </c>
      <c r="B29" s="219">
        <f t="shared" si="20"/>
        <v>5012</v>
      </c>
      <c r="C29" s="219">
        <v>5000</v>
      </c>
      <c r="D29" s="219">
        <v>12</v>
      </c>
      <c r="E29" s="219">
        <f t="shared" si="21"/>
        <v>3351.78</v>
      </c>
      <c r="F29" s="219">
        <v>3340</v>
      </c>
      <c r="G29" s="219">
        <v>11.78</v>
      </c>
      <c r="H29" s="219">
        <f t="shared" si="22"/>
        <v>-1660.22</v>
      </c>
      <c r="I29" s="219">
        <f t="shared" si="23"/>
        <v>-1660</v>
      </c>
      <c r="J29" s="219">
        <f t="shared" si="19"/>
        <v>-0.220000000000001</v>
      </c>
      <c r="K29" s="235">
        <f t="shared" si="24"/>
        <v>-33.1249002394254</v>
      </c>
      <c r="L29" s="235">
        <f t="shared" si="25"/>
        <v>-33.2</v>
      </c>
      <c r="M29" s="235">
        <f t="shared" si="26"/>
        <v>-1.83333333333334</v>
      </c>
    </row>
    <row r="30" ht="35.1" customHeight="true" spans="1:13">
      <c r="A30" s="218" t="s">
        <v>34</v>
      </c>
      <c r="B30" s="219">
        <f t="shared" si="20"/>
        <v>2496</v>
      </c>
      <c r="C30" s="219">
        <v>1894</v>
      </c>
      <c r="D30" s="219">
        <v>602</v>
      </c>
      <c r="E30" s="219">
        <f t="shared" si="21"/>
        <v>1580</v>
      </c>
      <c r="F30" s="219">
        <v>1200</v>
      </c>
      <c r="G30" s="219">
        <v>380</v>
      </c>
      <c r="H30" s="219">
        <f t="shared" si="22"/>
        <v>-916</v>
      </c>
      <c r="I30" s="219">
        <f t="shared" si="23"/>
        <v>-694</v>
      </c>
      <c r="J30" s="219">
        <f t="shared" si="19"/>
        <v>-222</v>
      </c>
      <c r="K30" s="235">
        <f t="shared" si="24"/>
        <v>-36.6987179487179</v>
      </c>
      <c r="L30" s="235">
        <f t="shared" si="25"/>
        <v>-36.6420274551214</v>
      </c>
      <c r="M30" s="235">
        <f t="shared" si="26"/>
        <v>-36.8770764119601</v>
      </c>
    </row>
    <row r="31" ht="35.1" customHeight="true" spans="1:13">
      <c r="A31" s="218" t="s">
        <v>35</v>
      </c>
      <c r="B31" s="219">
        <f t="shared" si="20"/>
        <v>56086</v>
      </c>
      <c r="C31" s="219">
        <v>35000</v>
      </c>
      <c r="D31" s="219">
        <v>21086</v>
      </c>
      <c r="E31" s="219">
        <f t="shared" si="21"/>
        <v>37900</v>
      </c>
      <c r="F31" s="219">
        <v>24900</v>
      </c>
      <c r="G31" s="219">
        <v>13000</v>
      </c>
      <c r="H31" s="219">
        <f t="shared" si="22"/>
        <v>-18186</v>
      </c>
      <c r="I31" s="219">
        <f t="shared" si="23"/>
        <v>-10100</v>
      </c>
      <c r="J31" s="219">
        <f t="shared" si="19"/>
        <v>-8086</v>
      </c>
      <c r="K31" s="235">
        <f t="shared" si="24"/>
        <v>-32.4252041507685</v>
      </c>
      <c r="L31" s="235">
        <f t="shared" si="25"/>
        <v>-28.8571428571429</v>
      </c>
      <c r="M31" s="235">
        <f t="shared" si="26"/>
        <v>-38.347718865598</v>
      </c>
    </row>
    <row r="32" ht="35.1" customHeight="true" spans="1:13">
      <c r="A32" s="218" t="s">
        <v>36</v>
      </c>
      <c r="B32" s="219">
        <f t="shared" si="20"/>
        <v>109</v>
      </c>
      <c r="C32" s="219">
        <v>100</v>
      </c>
      <c r="D32" s="219">
        <v>9</v>
      </c>
      <c r="E32" s="219">
        <f t="shared" si="21"/>
        <v>88.95</v>
      </c>
      <c r="F32" s="219">
        <v>80</v>
      </c>
      <c r="G32" s="219">
        <v>8.95</v>
      </c>
      <c r="H32" s="219">
        <f t="shared" si="22"/>
        <v>-20.05</v>
      </c>
      <c r="I32" s="219">
        <f t="shared" si="23"/>
        <v>-20</v>
      </c>
      <c r="J32" s="219">
        <f t="shared" si="19"/>
        <v>-0.0500000000000007</v>
      </c>
      <c r="K32" s="235">
        <f t="shared" si="24"/>
        <v>-18.394495412844</v>
      </c>
      <c r="L32" s="235">
        <f t="shared" si="25"/>
        <v>-20</v>
      </c>
      <c r="M32" s="235">
        <v>0</v>
      </c>
    </row>
    <row r="33" ht="35.1" customHeight="true" spans="1:13">
      <c r="A33" s="218" t="s">
        <v>37</v>
      </c>
      <c r="B33" s="219">
        <f t="shared" si="20"/>
        <v>25000</v>
      </c>
      <c r="C33" s="219">
        <v>25000</v>
      </c>
      <c r="D33" s="219"/>
      <c r="E33" s="219">
        <f t="shared" si="21"/>
        <v>25300</v>
      </c>
      <c r="F33" s="219">
        <v>25300</v>
      </c>
      <c r="G33" s="219"/>
      <c r="H33" s="219">
        <f t="shared" si="22"/>
        <v>300</v>
      </c>
      <c r="I33" s="219">
        <f t="shared" si="23"/>
        <v>300</v>
      </c>
      <c r="J33" s="219">
        <f t="shared" si="19"/>
        <v>0</v>
      </c>
      <c r="K33" s="235">
        <f t="shared" si="24"/>
        <v>1.2</v>
      </c>
      <c r="L33" s="235">
        <f t="shared" si="25"/>
        <v>1.2</v>
      </c>
      <c r="M33" s="235">
        <v>0</v>
      </c>
    </row>
    <row r="34" s="56" customFormat="true" ht="35.1" customHeight="true" spans="1:14">
      <c r="A34" s="216" t="s">
        <v>38</v>
      </c>
      <c r="B34" s="217">
        <f t="shared" si="20"/>
        <v>256180</v>
      </c>
      <c r="C34" s="217">
        <f t="shared" ref="C34:G34" si="27">C35+C36+C37+C45+C46+C47+C48+C49</f>
        <v>150000</v>
      </c>
      <c r="D34" s="217">
        <f t="shared" si="27"/>
        <v>106180</v>
      </c>
      <c r="E34" s="217">
        <f t="shared" si="21"/>
        <v>306035.044314</v>
      </c>
      <c r="F34" s="217">
        <f t="shared" si="27"/>
        <v>202685.044314</v>
      </c>
      <c r="G34" s="217">
        <f t="shared" si="27"/>
        <v>103350</v>
      </c>
      <c r="H34" s="217">
        <f>H35++H36+H37+H45+H46+H47+H48+H49</f>
        <v>49855.044314</v>
      </c>
      <c r="I34" s="217">
        <f>I35++I36+I37+I45+I46+I47+I48+I49</f>
        <v>52685.044314</v>
      </c>
      <c r="J34" s="217">
        <f>J35++J36+J37+J45+J46+J47+J48+J49</f>
        <v>-2830</v>
      </c>
      <c r="K34" s="234">
        <f t="shared" si="24"/>
        <v>19.4609432094621</v>
      </c>
      <c r="L34" s="234">
        <f t="shared" si="25"/>
        <v>35.123362876</v>
      </c>
      <c r="M34" s="234">
        <f t="shared" ref="M34:M41" si="28">(J34/D34)*100</f>
        <v>-2.66528536447542</v>
      </c>
      <c r="N34" s="35"/>
    </row>
    <row r="35" ht="35.1" customHeight="true" spans="1:13">
      <c r="A35" s="218" t="s">
        <v>39</v>
      </c>
      <c r="B35" s="219">
        <f t="shared" si="20"/>
        <v>9000</v>
      </c>
      <c r="C35" s="219">
        <v>6500</v>
      </c>
      <c r="D35" s="219">
        <v>2500</v>
      </c>
      <c r="E35" s="219">
        <f t="shared" si="21"/>
        <v>8500</v>
      </c>
      <c r="F35" s="219">
        <v>6500</v>
      </c>
      <c r="G35" s="219">
        <v>2000</v>
      </c>
      <c r="H35" s="219">
        <f t="shared" ref="H35:H60" si="29">I35+J35</f>
        <v>-500</v>
      </c>
      <c r="I35" s="219">
        <f t="shared" ref="I35:I52" si="30">F35-C35</f>
        <v>0</v>
      </c>
      <c r="J35" s="219">
        <f>G35-D35</f>
        <v>-500</v>
      </c>
      <c r="K35" s="235">
        <f t="shared" si="24"/>
        <v>-5.55555555555556</v>
      </c>
      <c r="L35" s="235">
        <f t="shared" si="25"/>
        <v>0</v>
      </c>
      <c r="M35" s="235">
        <f t="shared" si="28"/>
        <v>-20</v>
      </c>
    </row>
    <row r="36" ht="35.1" customHeight="true" spans="1:13">
      <c r="A36" s="218" t="s">
        <v>40</v>
      </c>
      <c r="B36" s="219">
        <f t="shared" si="20"/>
        <v>5500</v>
      </c>
      <c r="C36" s="219">
        <v>5000</v>
      </c>
      <c r="D36" s="219">
        <v>500</v>
      </c>
      <c r="E36" s="219">
        <f t="shared" si="21"/>
        <v>7300</v>
      </c>
      <c r="F36" s="219">
        <v>7000</v>
      </c>
      <c r="G36" s="219">
        <v>300</v>
      </c>
      <c r="H36" s="219">
        <f t="shared" si="29"/>
        <v>1800</v>
      </c>
      <c r="I36" s="219">
        <f t="shared" si="30"/>
        <v>2000</v>
      </c>
      <c r="J36" s="219">
        <f t="shared" ref="J36:J52" si="31">G36-D36</f>
        <v>-200</v>
      </c>
      <c r="K36" s="235">
        <f t="shared" si="24"/>
        <v>32.7272727272727</v>
      </c>
      <c r="L36" s="235">
        <f t="shared" si="25"/>
        <v>40</v>
      </c>
      <c r="M36" s="235">
        <f t="shared" si="28"/>
        <v>-40</v>
      </c>
    </row>
    <row r="37" ht="35.1" customHeight="true" spans="1:13">
      <c r="A37" s="218" t="s">
        <v>41</v>
      </c>
      <c r="B37" s="219">
        <f t="shared" si="20"/>
        <v>43400</v>
      </c>
      <c r="C37" s="219">
        <v>20400</v>
      </c>
      <c r="D37" s="219">
        <v>23000</v>
      </c>
      <c r="E37" s="219">
        <f>SUM(E38:E43)</f>
        <v>64361.977</v>
      </c>
      <c r="F37" s="219">
        <f>SUM(F38:F43)</f>
        <v>34361.977</v>
      </c>
      <c r="G37" s="219">
        <f>SUM(G38:G43)</f>
        <v>30000</v>
      </c>
      <c r="H37" s="219">
        <f t="shared" si="29"/>
        <v>20961.977</v>
      </c>
      <c r="I37" s="219">
        <f>I38+I39+I40+I41+I42+I43+I44</f>
        <v>13961.977</v>
      </c>
      <c r="J37" s="219">
        <f t="shared" si="31"/>
        <v>7000</v>
      </c>
      <c r="K37" s="235">
        <f t="shared" si="24"/>
        <v>48.2994861751152</v>
      </c>
      <c r="L37" s="235">
        <f t="shared" si="25"/>
        <v>68.4410637254902</v>
      </c>
      <c r="M37" s="235">
        <f t="shared" si="28"/>
        <v>30.4347826086957</v>
      </c>
    </row>
    <row r="38" ht="35.1" customHeight="true" spans="1:13">
      <c r="A38" s="218" t="s">
        <v>42</v>
      </c>
      <c r="B38" s="219">
        <v>15000</v>
      </c>
      <c r="C38" s="219">
        <v>11000</v>
      </c>
      <c r="D38" s="219"/>
      <c r="E38" s="219">
        <f t="shared" ref="E38:E43" si="32">F38+G38</f>
        <v>14800</v>
      </c>
      <c r="F38" s="219">
        <v>11000</v>
      </c>
      <c r="G38" s="219">
        <v>3800</v>
      </c>
      <c r="H38" s="219">
        <f t="shared" si="29"/>
        <v>3800</v>
      </c>
      <c r="I38" s="219">
        <f t="shared" si="30"/>
        <v>0</v>
      </c>
      <c r="J38" s="219">
        <f t="shared" si="31"/>
        <v>3800</v>
      </c>
      <c r="K38" s="235">
        <f t="shared" si="24"/>
        <v>25.3333333333333</v>
      </c>
      <c r="L38" s="235">
        <f t="shared" si="25"/>
        <v>0</v>
      </c>
      <c r="M38" s="235"/>
    </row>
    <row r="39" ht="35.1" customHeight="true" spans="1:13">
      <c r="A39" s="218" t="s">
        <v>43</v>
      </c>
      <c r="B39" s="219">
        <v>3500</v>
      </c>
      <c r="C39" s="219">
        <v>1700</v>
      </c>
      <c r="D39" s="219"/>
      <c r="E39" s="219">
        <f t="shared" si="32"/>
        <v>3640</v>
      </c>
      <c r="F39" s="219">
        <v>2266</v>
      </c>
      <c r="G39" s="219">
        <v>1374</v>
      </c>
      <c r="H39" s="219">
        <f t="shared" si="29"/>
        <v>1940</v>
      </c>
      <c r="I39" s="219">
        <f t="shared" si="30"/>
        <v>566</v>
      </c>
      <c r="J39" s="219">
        <f t="shared" si="31"/>
        <v>1374</v>
      </c>
      <c r="K39" s="235">
        <f t="shared" si="24"/>
        <v>55.4285714285714</v>
      </c>
      <c r="L39" s="235">
        <f t="shared" si="25"/>
        <v>33.2941176470588</v>
      </c>
      <c r="M39" s="235"/>
    </row>
    <row r="40" ht="35.1" customHeight="true" spans="1:13">
      <c r="A40" s="218" t="s">
        <v>44</v>
      </c>
      <c r="B40" s="219">
        <v>21000</v>
      </c>
      <c r="C40" s="219"/>
      <c r="D40" s="219"/>
      <c r="E40" s="219">
        <f t="shared" si="32"/>
        <v>18518</v>
      </c>
      <c r="F40" s="219">
        <v>7008</v>
      </c>
      <c r="G40" s="219">
        <v>11510</v>
      </c>
      <c r="H40" s="219">
        <f t="shared" si="29"/>
        <v>18518</v>
      </c>
      <c r="I40" s="219">
        <f t="shared" si="30"/>
        <v>7008</v>
      </c>
      <c r="J40" s="219">
        <f t="shared" si="31"/>
        <v>11510</v>
      </c>
      <c r="K40" s="235">
        <f t="shared" si="24"/>
        <v>88.1809523809524</v>
      </c>
      <c r="L40" s="235"/>
      <c r="M40" s="235"/>
    </row>
    <row r="41" s="56" customFormat="true" ht="35.1" customHeight="true" spans="1:13">
      <c r="A41" s="218" t="s">
        <v>45</v>
      </c>
      <c r="B41" s="219">
        <v>21000</v>
      </c>
      <c r="C41" s="219"/>
      <c r="D41" s="219"/>
      <c r="E41" s="219">
        <f t="shared" si="32"/>
        <v>18518</v>
      </c>
      <c r="F41" s="219">
        <v>7008</v>
      </c>
      <c r="G41" s="219">
        <v>11510</v>
      </c>
      <c r="H41" s="219">
        <f t="shared" si="29"/>
        <v>18518</v>
      </c>
      <c r="I41" s="219">
        <f t="shared" si="30"/>
        <v>7008</v>
      </c>
      <c r="J41" s="219">
        <f t="shared" si="31"/>
        <v>11510</v>
      </c>
      <c r="K41" s="235">
        <f t="shared" si="24"/>
        <v>88.1809523809524</v>
      </c>
      <c r="L41" s="235"/>
      <c r="M41" s="235"/>
    </row>
    <row r="42" ht="35.1" customHeight="true" spans="1:13">
      <c r="A42" s="218" t="s">
        <v>46</v>
      </c>
      <c r="B42" s="219">
        <v>1500</v>
      </c>
      <c r="C42" s="219">
        <v>200</v>
      </c>
      <c r="D42" s="219"/>
      <c r="E42" s="219">
        <f t="shared" si="32"/>
        <v>85.977</v>
      </c>
      <c r="F42" s="219">
        <v>79.977</v>
      </c>
      <c r="G42" s="219">
        <v>6</v>
      </c>
      <c r="H42" s="219">
        <f t="shared" si="29"/>
        <v>-114.023</v>
      </c>
      <c r="I42" s="219">
        <f t="shared" si="30"/>
        <v>-120.023</v>
      </c>
      <c r="J42" s="219">
        <f t="shared" si="31"/>
        <v>6</v>
      </c>
      <c r="K42" s="235">
        <f t="shared" si="24"/>
        <v>-7.60153333333333</v>
      </c>
      <c r="L42" s="235">
        <f t="shared" si="25"/>
        <v>-60.0115</v>
      </c>
      <c r="M42" s="235">
        <v>0</v>
      </c>
    </row>
    <row r="43" ht="35.1" customHeight="true" spans="1:13">
      <c r="A43" s="218" t="s">
        <v>47</v>
      </c>
      <c r="B43" s="219">
        <v>5000</v>
      </c>
      <c r="C43" s="219">
        <v>7500</v>
      </c>
      <c r="D43" s="219"/>
      <c r="E43" s="219">
        <f t="shared" si="32"/>
        <v>8800</v>
      </c>
      <c r="F43" s="219">
        <v>7000</v>
      </c>
      <c r="G43" s="219">
        <v>1800</v>
      </c>
      <c r="H43" s="219">
        <f t="shared" si="29"/>
        <v>1300</v>
      </c>
      <c r="I43" s="219">
        <f t="shared" si="30"/>
        <v>-500</v>
      </c>
      <c r="J43" s="219">
        <f t="shared" si="31"/>
        <v>1800</v>
      </c>
      <c r="K43" s="235">
        <f t="shared" si="24"/>
        <v>26</v>
      </c>
      <c r="L43" s="235">
        <f t="shared" si="25"/>
        <v>-6.66666666666667</v>
      </c>
      <c r="M43" s="235"/>
    </row>
    <row r="44" ht="35.1" hidden="true" customHeight="true" spans="1:13">
      <c r="A44" s="218" t="s">
        <v>48</v>
      </c>
      <c r="B44" s="219">
        <f t="shared" si="20"/>
        <v>0</v>
      </c>
      <c r="C44" s="219"/>
      <c r="D44" s="219"/>
      <c r="E44" s="219">
        <f t="shared" ref="E38:E60" si="33">F44+G44</f>
        <v>0</v>
      </c>
      <c r="F44" s="219"/>
      <c r="G44" s="219"/>
      <c r="H44" s="219">
        <f t="shared" si="29"/>
        <v>0</v>
      </c>
      <c r="I44" s="219">
        <f t="shared" si="30"/>
        <v>0</v>
      </c>
      <c r="J44" s="219">
        <f t="shared" si="31"/>
        <v>0</v>
      </c>
      <c r="K44" s="235">
        <v>0</v>
      </c>
      <c r="L44" s="235">
        <v>0</v>
      </c>
      <c r="M44" s="235">
        <v>0</v>
      </c>
    </row>
    <row r="45" ht="35.1" customHeight="true" spans="1:13">
      <c r="A45" s="218" t="s">
        <v>49</v>
      </c>
      <c r="B45" s="219">
        <f t="shared" si="20"/>
        <v>100</v>
      </c>
      <c r="C45" s="219">
        <v>100</v>
      </c>
      <c r="D45" s="219"/>
      <c r="E45" s="219">
        <f t="shared" si="33"/>
        <v>22614.941405</v>
      </c>
      <c r="F45" s="219">
        <v>22614.941405</v>
      </c>
      <c r="G45" s="219"/>
      <c r="H45" s="219">
        <f t="shared" si="29"/>
        <v>22514.941405</v>
      </c>
      <c r="I45" s="219">
        <f t="shared" si="30"/>
        <v>22514.941405</v>
      </c>
      <c r="J45" s="219">
        <f t="shared" si="31"/>
        <v>0</v>
      </c>
      <c r="K45" s="235">
        <f t="shared" ref="K45:K48" si="34">H45/B45*100</f>
        <v>22514.941405</v>
      </c>
      <c r="L45" s="235">
        <f t="shared" ref="L45:L48" si="35">(F45-C45)/C45*100</f>
        <v>22514.941405</v>
      </c>
      <c r="M45" s="235">
        <v>0</v>
      </c>
    </row>
    <row r="46" ht="35.1" customHeight="true" spans="1:13">
      <c r="A46" s="218" t="s">
        <v>50</v>
      </c>
      <c r="B46" s="219">
        <f t="shared" si="20"/>
        <v>198130</v>
      </c>
      <c r="C46" s="219">
        <v>117950</v>
      </c>
      <c r="D46" s="219">
        <v>80180</v>
      </c>
      <c r="E46" s="219">
        <f t="shared" si="33"/>
        <v>203030.14339</v>
      </c>
      <c r="F46" s="219">
        <f>132214.14339-184</f>
        <v>132030.14339</v>
      </c>
      <c r="G46" s="219">
        <v>71000</v>
      </c>
      <c r="H46" s="219">
        <f t="shared" si="29"/>
        <v>4900.14339000001</v>
      </c>
      <c r="I46" s="219">
        <f t="shared" si="30"/>
        <v>14080.14339</v>
      </c>
      <c r="J46" s="219">
        <f t="shared" si="31"/>
        <v>-9180</v>
      </c>
      <c r="K46" s="235">
        <f t="shared" si="34"/>
        <v>2.47319607833241</v>
      </c>
      <c r="L46" s="235">
        <f t="shared" si="35"/>
        <v>11.9373831199661</v>
      </c>
      <c r="M46" s="235">
        <f>(J46/D46)*100</f>
        <v>-11.4492392117735</v>
      </c>
    </row>
    <row r="47" ht="35.1" customHeight="true" spans="1:13">
      <c r="A47" s="218" t="s">
        <v>51</v>
      </c>
      <c r="B47" s="219">
        <f t="shared" si="20"/>
        <v>0</v>
      </c>
      <c r="C47" s="219"/>
      <c r="D47" s="219"/>
      <c r="E47" s="219">
        <f t="shared" si="33"/>
        <v>0</v>
      </c>
      <c r="F47" s="219"/>
      <c r="G47" s="219"/>
      <c r="H47" s="219">
        <f t="shared" si="29"/>
        <v>0</v>
      </c>
      <c r="I47" s="219">
        <f t="shared" si="30"/>
        <v>0</v>
      </c>
      <c r="J47" s="219">
        <f t="shared" si="31"/>
        <v>0</v>
      </c>
      <c r="K47" s="235"/>
      <c r="L47" s="235"/>
      <c r="M47" s="235">
        <v>0</v>
      </c>
    </row>
    <row r="48" ht="35.1" customHeight="true" spans="1:13">
      <c r="A48" s="218" t="s">
        <v>52</v>
      </c>
      <c r="B48" s="219">
        <f t="shared" si="20"/>
        <v>50</v>
      </c>
      <c r="C48" s="219">
        <v>50</v>
      </c>
      <c r="D48" s="219"/>
      <c r="E48" s="219">
        <f t="shared" si="33"/>
        <v>64.84014</v>
      </c>
      <c r="F48" s="219">
        <v>64.84014</v>
      </c>
      <c r="G48" s="219"/>
      <c r="H48" s="219">
        <f t="shared" si="29"/>
        <v>14.84014</v>
      </c>
      <c r="I48" s="219">
        <f t="shared" si="30"/>
        <v>14.84014</v>
      </c>
      <c r="J48" s="219">
        <f t="shared" si="31"/>
        <v>0</v>
      </c>
      <c r="K48" s="235">
        <f t="shared" si="34"/>
        <v>29.68028</v>
      </c>
      <c r="L48" s="235">
        <f t="shared" si="35"/>
        <v>29.68028</v>
      </c>
      <c r="M48" s="235">
        <v>0</v>
      </c>
    </row>
    <row r="49" ht="35.1" customHeight="true" spans="1:13">
      <c r="A49" s="218" t="s">
        <v>53</v>
      </c>
      <c r="B49" s="219">
        <f t="shared" si="20"/>
        <v>0</v>
      </c>
      <c r="C49" s="219"/>
      <c r="D49" s="219"/>
      <c r="E49" s="219">
        <f t="shared" si="33"/>
        <v>163.142379</v>
      </c>
      <c r="F49" s="219">
        <v>113.142379</v>
      </c>
      <c r="G49" s="219">
        <v>50</v>
      </c>
      <c r="H49" s="219">
        <f t="shared" si="29"/>
        <v>163.142379</v>
      </c>
      <c r="I49" s="219">
        <f t="shared" si="30"/>
        <v>113.142379</v>
      </c>
      <c r="J49" s="219">
        <f t="shared" si="31"/>
        <v>50</v>
      </c>
      <c r="K49" s="235">
        <v>0</v>
      </c>
      <c r="L49" s="235">
        <v>0</v>
      </c>
      <c r="M49" s="235">
        <v>0</v>
      </c>
    </row>
    <row r="50" ht="35.1" customHeight="true" spans="1:13">
      <c r="A50" s="216" t="s">
        <v>54</v>
      </c>
      <c r="B50" s="219">
        <f t="shared" si="20"/>
        <v>0</v>
      </c>
      <c r="C50" s="219">
        <v>0</v>
      </c>
      <c r="D50" s="219">
        <v>0</v>
      </c>
      <c r="E50" s="219">
        <f t="shared" si="33"/>
        <v>0</v>
      </c>
      <c r="F50" s="219">
        <v>0</v>
      </c>
      <c r="G50" s="219">
        <v>0</v>
      </c>
      <c r="H50" s="219">
        <f t="shared" si="29"/>
        <v>0</v>
      </c>
      <c r="I50" s="219">
        <f t="shared" si="30"/>
        <v>0</v>
      </c>
      <c r="J50" s="219">
        <f t="shared" si="31"/>
        <v>0</v>
      </c>
      <c r="K50" s="235">
        <v>0</v>
      </c>
      <c r="L50" s="235">
        <v>0</v>
      </c>
      <c r="M50" s="235">
        <v>0</v>
      </c>
    </row>
    <row r="51" ht="35.1" customHeight="true" spans="1:20">
      <c r="A51" s="216" t="s">
        <v>55</v>
      </c>
      <c r="B51" s="219">
        <f t="shared" ref="B51:G51" si="36">B52+B56</f>
        <v>620000</v>
      </c>
      <c r="C51" s="219">
        <f t="shared" si="36"/>
        <v>500000</v>
      </c>
      <c r="D51" s="219">
        <f t="shared" si="36"/>
        <v>120000</v>
      </c>
      <c r="E51" s="219">
        <f t="shared" si="33"/>
        <v>212375.985753</v>
      </c>
      <c r="F51" s="220">
        <f t="shared" si="36"/>
        <v>64875.985753</v>
      </c>
      <c r="G51" s="220">
        <f t="shared" si="36"/>
        <v>147500</v>
      </c>
      <c r="H51" s="219">
        <f t="shared" si="29"/>
        <v>-407624.014247</v>
      </c>
      <c r="I51" s="219">
        <f t="shared" si="30"/>
        <v>-435124.014247</v>
      </c>
      <c r="J51" s="219">
        <f t="shared" si="31"/>
        <v>27500</v>
      </c>
      <c r="K51" s="235">
        <f t="shared" ref="K51:K58" si="37">H51/B51*100</f>
        <v>-65.7458087495161</v>
      </c>
      <c r="L51" s="235">
        <f t="shared" ref="L51:L58" si="38">(F51-C51)/C51*100</f>
        <v>-87.0248028494</v>
      </c>
      <c r="M51" s="235">
        <f t="shared" ref="M51:M53" si="39">(J51/D51)*100</f>
        <v>22.9166666666667</v>
      </c>
      <c r="R51" s="237"/>
      <c r="S51" s="237"/>
      <c r="T51" s="237"/>
    </row>
    <row r="52" ht="35.1" customHeight="true" spans="1:20">
      <c r="A52" s="218" t="s">
        <v>56</v>
      </c>
      <c r="B52" s="219">
        <f t="shared" ref="B52:G52" si="40">SUM(B53:B55)</f>
        <v>608200</v>
      </c>
      <c r="C52" s="220">
        <f t="shared" si="40"/>
        <v>490000</v>
      </c>
      <c r="D52" s="220">
        <f t="shared" si="40"/>
        <v>118200</v>
      </c>
      <c r="E52" s="219">
        <f t="shared" si="33"/>
        <v>202954.68706</v>
      </c>
      <c r="F52" s="220">
        <f t="shared" si="40"/>
        <v>56354.68706</v>
      </c>
      <c r="G52" s="220">
        <f t="shared" si="40"/>
        <v>146600</v>
      </c>
      <c r="H52" s="219">
        <f t="shared" si="29"/>
        <v>-405245.31294</v>
      </c>
      <c r="I52" s="219">
        <f t="shared" si="30"/>
        <v>-433645.31294</v>
      </c>
      <c r="J52" s="219">
        <f t="shared" si="31"/>
        <v>28400</v>
      </c>
      <c r="K52" s="235">
        <f t="shared" si="37"/>
        <v>-66.6302717757317</v>
      </c>
      <c r="L52" s="235">
        <f t="shared" si="38"/>
        <v>-88.4990434571429</v>
      </c>
      <c r="M52" s="235">
        <f t="shared" si="39"/>
        <v>24.0270727580372</v>
      </c>
      <c r="R52" s="237"/>
      <c r="S52" s="237"/>
      <c r="T52" s="237"/>
    </row>
    <row r="53" ht="35.1" customHeight="true" spans="1:13">
      <c r="A53" s="218" t="s">
        <v>57</v>
      </c>
      <c r="B53" s="219">
        <f t="shared" ref="B53:B59" si="41">C53+D53</f>
        <v>608200</v>
      </c>
      <c r="C53" s="219">
        <v>490000</v>
      </c>
      <c r="D53" s="219">
        <v>118200</v>
      </c>
      <c r="E53" s="219">
        <f t="shared" si="33"/>
        <v>202954.68706</v>
      </c>
      <c r="F53" s="219">
        <v>56354.68706</v>
      </c>
      <c r="G53" s="219">
        <v>146600</v>
      </c>
      <c r="H53" s="219">
        <f t="shared" si="29"/>
        <v>-405245.31294</v>
      </c>
      <c r="I53" s="219">
        <f t="shared" ref="I53:I60" si="42">F53-C53</f>
        <v>-433645.31294</v>
      </c>
      <c r="J53" s="219">
        <f t="shared" ref="J53:J60" si="43">G53-D53</f>
        <v>28400</v>
      </c>
      <c r="K53" s="235">
        <f t="shared" si="37"/>
        <v>-66.6302717757317</v>
      </c>
      <c r="L53" s="235">
        <f t="shared" si="38"/>
        <v>-88.4990434571429</v>
      </c>
      <c r="M53" s="235">
        <f t="shared" si="39"/>
        <v>24.0270727580372</v>
      </c>
    </row>
    <row r="54" ht="35.1" customHeight="true" spans="1:13">
      <c r="A54" s="218" t="s">
        <v>58</v>
      </c>
      <c r="B54" s="219">
        <f t="shared" si="41"/>
        <v>0</v>
      </c>
      <c r="C54" s="219"/>
      <c r="D54" s="219"/>
      <c r="E54" s="219">
        <f t="shared" si="33"/>
        <v>0</v>
      </c>
      <c r="F54" s="219"/>
      <c r="G54" s="219"/>
      <c r="H54" s="219">
        <f t="shared" si="29"/>
        <v>0</v>
      </c>
      <c r="I54" s="219">
        <f t="shared" si="42"/>
        <v>0</v>
      </c>
      <c r="J54" s="219">
        <f t="shared" si="43"/>
        <v>0</v>
      </c>
      <c r="K54" s="235">
        <v>0</v>
      </c>
      <c r="L54" s="235">
        <v>0</v>
      </c>
      <c r="M54" s="235">
        <v>0</v>
      </c>
    </row>
    <row r="55" ht="35.1" customHeight="true" spans="1:13">
      <c r="A55" s="218" t="s">
        <v>59</v>
      </c>
      <c r="B55" s="219">
        <f t="shared" si="41"/>
        <v>0</v>
      </c>
      <c r="C55" s="219"/>
      <c r="D55" s="219"/>
      <c r="E55" s="219">
        <f t="shared" si="33"/>
        <v>0</v>
      </c>
      <c r="F55" s="219"/>
      <c r="G55" s="219"/>
      <c r="H55" s="219">
        <f t="shared" si="29"/>
        <v>0</v>
      </c>
      <c r="I55" s="219">
        <f t="shared" si="42"/>
        <v>0</v>
      </c>
      <c r="J55" s="219">
        <f t="shared" si="43"/>
        <v>0</v>
      </c>
      <c r="K55" s="235">
        <v>0</v>
      </c>
      <c r="L55" s="235">
        <v>0</v>
      </c>
      <c r="M55" s="235">
        <v>0</v>
      </c>
    </row>
    <row r="56" ht="35.1" customHeight="true" spans="1:13">
      <c r="A56" s="218" t="s">
        <v>60</v>
      </c>
      <c r="B56" s="219">
        <f t="shared" si="41"/>
        <v>11800</v>
      </c>
      <c r="C56" s="220">
        <f>SUM(C57:C60)</f>
        <v>10000</v>
      </c>
      <c r="D56" s="220">
        <f>SUM(D57:D59)</f>
        <v>1800</v>
      </c>
      <c r="E56" s="219">
        <f t="shared" si="33"/>
        <v>9421.298693</v>
      </c>
      <c r="F56" s="220">
        <f>SUM(F57:F60)</f>
        <v>8521.298693</v>
      </c>
      <c r="G56" s="220">
        <f>SUM(G57:G59)</f>
        <v>900</v>
      </c>
      <c r="H56" s="219">
        <f t="shared" si="29"/>
        <v>-2378.701307</v>
      </c>
      <c r="I56" s="219">
        <f t="shared" si="42"/>
        <v>-1478.701307</v>
      </c>
      <c r="J56" s="219">
        <f t="shared" si="43"/>
        <v>-900</v>
      </c>
      <c r="K56" s="235">
        <f t="shared" si="37"/>
        <v>-20.1584856525424</v>
      </c>
      <c r="L56" s="235">
        <f t="shared" si="38"/>
        <v>-14.78701307</v>
      </c>
      <c r="M56" s="235">
        <f>(J56/D56)*100</f>
        <v>-50</v>
      </c>
    </row>
    <row r="57" ht="35.1" customHeight="true" spans="1:13">
      <c r="A57" s="218" t="s">
        <v>61</v>
      </c>
      <c r="B57" s="219">
        <f t="shared" si="41"/>
        <v>3800</v>
      </c>
      <c r="C57" s="219">
        <v>2000</v>
      </c>
      <c r="D57" s="219">
        <v>1800</v>
      </c>
      <c r="E57" s="219">
        <f t="shared" si="33"/>
        <v>1900</v>
      </c>
      <c r="F57" s="219">
        <v>1000</v>
      </c>
      <c r="G57" s="219">
        <v>900</v>
      </c>
      <c r="H57" s="219">
        <f t="shared" si="29"/>
        <v>-1900</v>
      </c>
      <c r="I57" s="219">
        <f t="shared" si="42"/>
        <v>-1000</v>
      </c>
      <c r="J57" s="219">
        <f t="shared" si="43"/>
        <v>-900</v>
      </c>
      <c r="K57" s="235">
        <f t="shared" si="37"/>
        <v>-50</v>
      </c>
      <c r="L57" s="235">
        <f t="shared" si="38"/>
        <v>-50</v>
      </c>
      <c r="M57" s="235">
        <f>(J57/D57)*100</f>
        <v>-50</v>
      </c>
    </row>
    <row r="58" s="56" customFormat="true" ht="35.1" customHeight="true" spans="1:15">
      <c r="A58" s="218" t="s">
        <v>62</v>
      </c>
      <c r="B58" s="219">
        <f t="shared" si="41"/>
        <v>2500</v>
      </c>
      <c r="C58" s="219">
        <v>2500</v>
      </c>
      <c r="D58" s="219"/>
      <c r="E58" s="219">
        <f t="shared" si="33"/>
        <v>2500</v>
      </c>
      <c r="F58" s="219">
        <v>2500</v>
      </c>
      <c r="G58" s="219"/>
      <c r="H58" s="219">
        <f t="shared" si="29"/>
        <v>0</v>
      </c>
      <c r="I58" s="219">
        <f t="shared" si="42"/>
        <v>0</v>
      </c>
      <c r="J58" s="219">
        <f t="shared" si="43"/>
        <v>0</v>
      </c>
      <c r="K58" s="235">
        <f t="shared" si="37"/>
        <v>0</v>
      </c>
      <c r="L58" s="235">
        <f t="shared" si="38"/>
        <v>0</v>
      </c>
      <c r="M58" s="235">
        <v>0</v>
      </c>
      <c r="N58" s="65"/>
      <c r="O58" s="36"/>
    </row>
    <row r="59" s="56" customFormat="true" ht="35.1" customHeight="true" spans="1:13">
      <c r="A59" s="218" t="s">
        <v>63</v>
      </c>
      <c r="B59" s="219">
        <f t="shared" si="41"/>
        <v>5500</v>
      </c>
      <c r="C59" s="219">
        <v>5500</v>
      </c>
      <c r="D59" s="219"/>
      <c r="E59" s="219">
        <f t="shared" si="33"/>
        <v>4881</v>
      </c>
      <c r="F59" s="219">
        <v>4881</v>
      </c>
      <c r="G59" s="219"/>
      <c r="H59" s="219">
        <f t="shared" si="29"/>
        <v>-619</v>
      </c>
      <c r="I59" s="219">
        <f t="shared" si="42"/>
        <v>-619</v>
      </c>
      <c r="J59" s="219">
        <f t="shared" si="43"/>
        <v>0</v>
      </c>
      <c r="K59" s="235">
        <v>0</v>
      </c>
      <c r="L59" s="235">
        <v>0</v>
      </c>
      <c r="M59" s="235">
        <v>0</v>
      </c>
    </row>
    <row r="60" ht="35.1" customHeight="true" spans="1:13">
      <c r="A60" s="174" t="s">
        <v>64</v>
      </c>
      <c r="B60" s="131"/>
      <c r="C60" s="131">
        <v>0</v>
      </c>
      <c r="D60" s="131"/>
      <c r="E60" s="219">
        <f t="shared" si="33"/>
        <v>140.298693</v>
      </c>
      <c r="F60" s="219">
        <v>140.298693</v>
      </c>
      <c r="G60" s="131"/>
      <c r="H60" s="219">
        <f t="shared" si="29"/>
        <v>140.298693</v>
      </c>
      <c r="I60" s="219">
        <f t="shared" si="42"/>
        <v>140.298693</v>
      </c>
      <c r="J60" s="219">
        <f t="shared" si="43"/>
        <v>0</v>
      </c>
      <c r="K60" s="235"/>
      <c r="L60" s="235"/>
      <c r="M60" s="235">
        <v>0</v>
      </c>
    </row>
  </sheetData>
  <mergeCells count="9">
    <mergeCell ref="A1:M1"/>
    <mergeCell ref="A2:B2"/>
    <mergeCell ref="E2:G2"/>
    <mergeCell ref="H2:M2"/>
    <mergeCell ref="B3:D3"/>
    <mergeCell ref="E3:G3"/>
    <mergeCell ref="H3:J3"/>
    <mergeCell ref="K3:M3"/>
    <mergeCell ref="A3:A4"/>
  </mergeCells>
  <pageMargins left="0.708333333333333" right="0.708333333333333" top="0.747916666666667" bottom="0.747916666666667" header="0.314583333333333" footer="0.314583333333333"/>
  <pageSetup paperSize="9" scale="84" firstPageNumber="6" fitToHeight="0" orientation="landscape" useFirstPageNumber="true" horizontalDpi="600"/>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87"/>
  <sheetViews>
    <sheetView showZeros="0" workbookViewId="0">
      <selection activeCell="A2" sqref="A2:B2"/>
    </sheetView>
  </sheetViews>
  <sheetFormatPr defaultColWidth="9" defaultRowHeight="15.75"/>
  <cols>
    <col min="1" max="1" width="22.5" style="157" customWidth="true"/>
    <col min="2" max="2" width="14.25" style="157" customWidth="true"/>
    <col min="3" max="4" width="12.125" style="157" customWidth="true"/>
    <col min="5" max="5" width="13.75" style="157" customWidth="true"/>
    <col min="6" max="7" width="11.25" style="157" customWidth="true"/>
    <col min="8" max="9" width="12.625" style="157" customWidth="true"/>
    <col min="10" max="10" width="11.75" style="157" customWidth="true"/>
    <col min="11" max="11" width="13" style="158" customWidth="true"/>
    <col min="12" max="12" width="10.875" style="158" customWidth="true"/>
    <col min="13" max="13" width="11.875" style="158" customWidth="true"/>
    <col min="14" max="15" width="10.375" style="157" customWidth="true"/>
    <col min="16" max="16" width="25.25" style="157" customWidth="true"/>
    <col min="17" max="16384" width="9" style="157"/>
  </cols>
  <sheetData>
    <row r="1" ht="27" customHeight="true" spans="1:15">
      <c r="A1" s="159" t="s">
        <v>65</v>
      </c>
      <c r="B1" s="159"/>
      <c r="C1" s="159"/>
      <c r="D1" s="159"/>
      <c r="E1" s="159"/>
      <c r="F1" s="159"/>
      <c r="G1" s="159"/>
      <c r="H1" s="159"/>
      <c r="I1" s="159"/>
      <c r="J1" s="159"/>
      <c r="K1" s="159"/>
      <c r="L1" s="159"/>
      <c r="M1" s="159"/>
      <c r="N1" s="159"/>
      <c r="O1" s="159"/>
    </row>
    <row r="2" s="155" customFormat="true" ht="30" customHeight="true" spans="1:20">
      <c r="A2" s="160" t="s">
        <v>66</v>
      </c>
      <c r="B2" s="160"/>
      <c r="C2" s="161"/>
      <c r="D2" s="161"/>
      <c r="E2" s="179" t="str">
        <f>附表1收入调整表2024!E2</f>
        <v>编制日期：2024年12月</v>
      </c>
      <c r="F2" s="179"/>
      <c r="G2" s="179"/>
      <c r="H2" s="179"/>
      <c r="I2" s="179"/>
      <c r="J2" s="161"/>
      <c r="K2" s="161"/>
      <c r="L2" s="181"/>
      <c r="M2" s="190" t="s">
        <v>3</v>
      </c>
      <c r="N2" s="190"/>
      <c r="O2" s="181"/>
      <c r="P2" s="191"/>
      <c r="Q2" s="191"/>
      <c r="R2" s="191"/>
      <c r="S2" s="191"/>
      <c r="T2" s="191"/>
    </row>
    <row r="3" ht="27.75" customHeight="true" spans="1:15">
      <c r="A3" s="162" t="s">
        <v>67</v>
      </c>
      <c r="B3" s="163" t="s">
        <v>68</v>
      </c>
      <c r="C3" s="164"/>
      <c r="D3" s="165"/>
      <c r="E3" s="163" t="s">
        <v>6</v>
      </c>
      <c r="F3" s="164"/>
      <c r="G3" s="165"/>
      <c r="H3" s="163" t="s">
        <v>69</v>
      </c>
      <c r="I3" s="164"/>
      <c r="J3" s="165"/>
      <c r="K3" s="182" t="s">
        <v>8</v>
      </c>
      <c r="L3" s="183"/>
      <c r="M3" s="192"/>
      <c r="N3" s="184" t="s">
        <v>70</v>
      </c>
      <c r="O3" s="193"/>
    </row>
    <row r="4" ht="27.75" customHeight="true" spans="1:15">
      <c r="A4" s="166"/>
      <c r="B4" s="167" t="s">
        <v>9</v>
      </c>
      <c r="C4" s="167" t="s">
        <v>10</v>
      </c>
      <c r="D4" s="167" t="s">
        <v>11</v>
      </c>
      <c r="E4" s="167" t="s">
        <v>9</v>
      </c>
      <c r="F4" s="167" t="s">
        <v>10</v>
      </c>
      <c r="G4" s="167" t="s">
        <v>11</v>
      </c>
      <c r="H4" s="167" t="s">
        <v>9</v>
      </c>
      <c r="I4" s="184" t="s">
        <v>10</v>
      </c>
      <c r="J4" s="167" t="s">
        <v>11</v>
      </c>
      <c r="K4" s="185" t="s">
        <v>9</v>
      </c>
      <c r="L4" s="186" t="s">
        <v>10</v>
      </c>
      <c r="M4" s="185" t="s">
        <v>11</v>
      </c>
      <c r="N4" s="194"/>
      <c r="O4" s="193"/>
    </row>
    <row r="5" ht="28.5" customHeight="true" spans="1:15">
      <c r="A5" s="168" t="s">
        <v>71</v>
      </c>
      <c r="B5" s="169">
        <f>C5+D5</f>
        <v>950039</v>
      </c>
      <c r="C5" s="170">
        <f>附表1收入调整表2024!C8</f>
        <v>662464</v>
      </c>
      <c r="D5" s="170">
        <f>附表1收入调整表2024!D8</f>
        <v>287575</v>
      </c>
      <c r="E5" s="169">
        <f t="shared" ref="E5:E11" si="0">F5+G5</f>
        <v>896954.454314</v>
      </c>
      <c r="F5" s="170">
        <f>附表1收入调整表2024!F8</f>
        <v>615988.044314</v>
      </c>
      <c r="G5" s="170">
        <f>附表1收入调整表2024!G8</f>
        <v>280966.41</v>
      </c>
      <c r="H5" s="180">
        <f>E5-B5</f>
        <v>-53084.5456859999</v>
      </c>
      <c r="I5" s="180">
        <f>F5-C5</f>
        <v>-46475.9556859999</v>
      </c>
      <c r="J5" s="187">
        <f>G5-D5</f>
        <v>-6608.58999999997</v>
      </c>
      <c r="K5" s="188">
        <f>H5/B5*100</f>
        <v>-5.587617527912</v>
      </c>
      <c r="L5" s="188">
        <f>I5/C5*100</f>
        <v>-7.01561982024683</v>
      </c>
      <c r="M5" s="189">
        <f>J5/D5*100</f>
        <v>-2.29804051117099</v>
      </c>
      <c r="N5" s="195"/>
      <c r="O5" s="196"/>
    </row>
    <row r="6" ht="28.5" customHeight="true" spans="1:15">
      <c r="A6" s="168" t="s">
        <v>72</v>
      </c>
      <c r="B6" s="169">
        <f t="shared" ref="B6:B18" si="1">C6+D6</f>
        <v>121000</v>
      </c>
      <c r="C6" s="171">
        <f t="shared" ref="C6:G6" si="2">C7+C12</f>
        <v>121000</v>
      </c>
      <c r="D6" s="171">
        <f t="shared" si="2"/>
        <v>0</v>
      </c>
      <c r="E6" s="169">
        <f t="shared" si="0"/>
        <v>117464.99015</v>
      </c>
      <c r="F6" s="171">
        <f t="shared" si="2"/>
        <v>117464.99015</v>
      </c>
      <c r="G6" s="171">
        <f t="shared" si="2"/>
        <v>0</v>
      </c>
      <c r="H6" s="180">
        <f t="shared" ref="H6:H37" si="3">E6-B6</f>
        <v>-3535.00985</v>
      </c>
      <c r="I6" s="180">
        <f t="shared" ref="I6:I37" si="4">F6-C6</f>
        <v>-3535.00985</v>
      </c>
      <c r="J6" s="187">
        <f t="shared" ref="J6:J37" si="5">G6-D6</f>
        <v>0</v>
      </c>
      <c r="K6" s="188">
        <f t="shared" ref="K6:K28" si="6">H6/B6*100</f>
        <v>-2.92149574380165</v>
      </c>
      <c r="L6" s="188">
        <f t="shared" ref="L6:L12" si="7">I6/C6*100</f>
        <v>-2.92149574380165</v>
      </c>
      <c r="M6" s="189"/>
      <c r="N6" s="195"/>
      <c r="O6" s="196"/>
    </row>
    <row r="7" ht="28.5" customHeight="true" spans="1:15">
      <c r="A7" s="168" t="s">
        <v>73</v>
      </c>
      <c r="B7" s="169">
        <f t="shared" si="1"/>
        <v>36516</v>
      </c>
      <c r="C7" s="169">
        <f>SUM(C8:C11)</f>
        <v>36516</v>
      </c>
      <c r="D7" s="169">
        <v>0</v>
      </c>
      <c r="E7" s="169">
        <f t="shared" si="0"/>
        <v>36516</v>
      </c>
      <c r="F7" s="169">
        <f>SUM(F8:F11)</f>
        <v>36516</v>
      </c>
      <c r="G7" s="169">
        <v>0</v>
      </c>
      <c r="H7" s="180">
        <f t="shared" si="3"/>
        <v>0</v>
      </c>
      <c r="I7" s="180">
        <f t="shared" si="4"/>
        <v>0</v>
      </c>
      <c r="J7" s="187">
        <f t="shared" si="5"/>
        <v>0</v>
      </c>
      <c r="K7" s="188">
        <f t="shared" si="6"/>
        <v>0</v>
      </c>
      <c r="L7" s="188">
        <f t="shared" si="7"/>
        <v>0</v>
      </c>
      <c r="M7" s="189">
        <v>0</v>
      </c>
      <c r="N7" s="195"/>
      <c r="O7" s="196"/>
    </row>
    <row r="8" ht="28.5" customHeight="true" spans="1:15">
      <c r="A8" s="172" t="s">
        <v>74</v>
      </c>
      <c r="B8" s="169">
        <f t="shared" si="1"/>
        <v>3181</v>
      </c>
      <c r="C8" s="171">
        <v>3181</v>
      </c>
      <c r="D8" s="171">
        <v>0</v>
      </c>
      <c r="E8" s="169">
        <f t="shared" si="0"/>
        <v>3181</v>
      </c>
      <c r="F8" s="171">
        <v>3181</v>
      </c>
      <c r="G8" s="171">
        <v>0</v>
      </c>
      <c r="H8" s="180">
        <f t="shared" si="3"/>
        <v>0</v>
      </c>
      <c r="I8" s="180">
        <f t="shared" si="4"/>
        <v>0</v>
      </c>
      <c r="J8" s="187">
        <f t="shared" si="5"/>
        <v>0</v>
      </c>
      <c r="K8" s="188">
        <f t="shared" si="6"/>
        <v>0</v>
      </c>
      <c r="L8" s="188">
        <f t="shared" si="7"/>
        <v>0</v>
      </c>
      <c r="M8" s="189">
        <v>0</v>
      </c>
      <c r="N8" s="195" t="s">
        <v>75</v>
      </c>
      <c r="O8" s="196"/>
    </row>
    <row r="9" ht="28.5" customHeight="true" spans="1:15">
      <c r="A9" s="172" t="s">
        <v>76</v>
      </c>
      <c r="B9" s="169">
        <f t="shared" si="1"/>
        <v>3409</v>
      </c>
      <c r="C9" s="171">
        <v>3409</v>
      </c>
      <c r="D9" s="171">
        <v>0</v>
      </c>
      <c r="E9" s="169">
        <f t="shared" si="0"/>
        <v>3409</v>
      </c>
      <c r="F9" s="171">
        <v>3409</v>
      </c>
      <c r="G9" s="171">
        <v>0</v>
      </c>
      <c r="H9" s="180">
        <f t="shared" si="3"/>
        <v>0</v>
      </c>
      <c r="I9" s="180">
        <f t="shared" si="4"/>
        <v>0</v>
      </c>
      <c r="J9" s="187">
        <f t="shared" si="5"/>
        <v>0</v>
      </c>
      <c r="K9" s="188">
        <f t="shared" si="6"/>
        <v>0</v>
      </c>
      <c r="L9" s="188">
        <f t="shared" si="7"/>
        <v>0</v>
      </c>
      <c r="M9" s="189">
        <v>0</v>
      </c>
      <c r="N9" s="195" t="s">
        <v>75</v>
      </c>
      <c r="O9" s="196"/>
    </row>
    <row r="10" ht="28.5" customHeight="true" spans="1:15">
      <c r="A10" s="172" t="s">
        <v>77</v>
      </c>
      <c r="B10" s="169">
        <f t="shared" si="1"/>
        <v>427</v>
      </c>
      <c r="C10" s="171">
        <v>427</v>
      </c>
      <c r="D10" s="171">
        <v>0</v>
      </c>
      <c r="E10" s="169">
        <f t="shared" si="0"/>
        <v>427</v>
      </c>
      <c r="F10" s="171">
        <v>427</v>
      </c>
      <c r="G10" s="171">
        <v>0</v>
      </c>
      <c r="H10" s="180">
        <f t="shared" si="3"/>
        <v>0</v>
      </c>
      <c r="I10" s="180">
        <f t="shared" si="4"/>
        <v>0</v>
      </c>
      <c r="J10" s="187">
        <f t="shared" si="5"/>
        <v>0</v>
      </c>
      <c r="K10" s="188">
        <f t="shared" si="6"/>
        <v>0</v>
      </c>
      <c r="L10" s="188">
        <f t="shared" si="7"/>
        <v>0</v>
      </c>
      <c r="M10" s="189">
        <v>0</v>
      </c>
      <c r="N10" s="195" t="s">
        <v>75</v>
      </c>
      <c r="O10" s="196"/>
    </row>
    <row r="11" ht="28.5" customHeight="true" spans="1:15">
      <c r="A11" s="172" t="s">
        <v>78</v>
      </c>
      <c r="B11" s="169">
        <f t="shared" si="1"/>
        <v>29499</v>
      </c>
      <c r="C11" s="171">
        <v>29499</v>
      </c>
      <c r="D11" s="171">
        <v>0</v>
      </c>
      <c r="E11" s="169">
        <f t="shared" si="0"/>
        <v>29499</v>
      </c>
      <c r="F11" s="171">
        <v>29499</v>
      </c>
      <c r="G11" s="171">
        <v>0</v>
      </c>
      <c r="H11" s="180">
        <f t="shared" si="3"/>
        <v>0</v>
      </c>
      <c r="I11" s="180">
        <f t="shared" si="4"/>
        <v>0</v>
      </c>
      <c r="J11" s="187">
        <f t="shared" si="5"/>
        <v>0</v>
      </c>
      <c r="K11" s="188">
        <f t="shared" si="6"/>
        <v>0</v>
      </c>
      <c r="L11" s="188">
        <f t="shared" si="7"/>
        <v>0</v>
      </c>
      <c r="M11" s="189">
        <v>0</v>
      </c>
      <c r="N11" s="195" t="s">
        <v>75</v>
      </c>
      <c r="O11" s="196"/>
    </row>
    <row r="12" ht="28.5" customHeight="true" spans="1:15">
      <c r="A12" s="168" t="s">
        <v>79</v>
      </c>
      <c r="B12" s="169">
        <f t="shared" si="1"/>
        <v>84484</v>
      </c>
      <c r="C12" s="171">
        <f>C13+C14+C19+C22+C29+C30+C31+C32+C33+C34+C35+C36+C37+C38+C39+C40+C41+C42+C43+C47+C44+C45</f>
        <v>84484</v>
      </c>
      <c r="D12" s="171">
        <f>D13+D14+D19+D22+D29+D30+D31+D32+D33+D34+D35+D36+D37+D38+D39+D40+D41+D42+D43+D47</f>
        <v>0</v>
      </c>
      <c r="E12" s="171">
        <f>E13+E14+E19+E22+E29+E30+E31+E32+E33+E34+E35+E36+E37+E38+E39+E40+E41+E42+E43+E47</f>
        <v>80948.99015</v>
      </c>
      <c r="F12" s="171">
        <f>F13+F14+F19+F22+F29+F30+F31+F32+F33+F34+F35+F36+F37+F38+F39+F40+F41+F42+F43+F47+F44+F45+F46</f>
        <v>80948.99015</v>
      </c>
      <c r="G12" s="171">
        <f>G13+G14+G19+G22+G29+G30+G31+G32+G33+G34+G35+G36+G37+G38+G39+G40+G41+G42+G43+G47+G44+G45+G46</f>
        <v>0</v>
      </c>
      <c r="H12" s="180">
        <f t="shared" si="3"/>
        <v>-3535.00985</v>
      </c>
      <c r="I12" s="180">
        <f t="shared" si="4"/>
        <v>-3535.00985</v>
      </c>
      <c r="J12" s="187">
        <f t="shared" si="5"/>
        <v>0</v>
      </c>
      <c r="K12" s="188">
        <f t="shared" si="6"/>
        <v>-4.18423589081957</v>
      </c>
      <c r="L12" s="188">
        <f t="shared" si="7"/>
        <v>-4.18423589081957</v>
      </c>
      <c r="M12" s="189">
        <v>0</v>
      </c>
      <c r="N12" s="195"/>
      <c r="O12" s="196"/>
    </row>
    <row r="13" ht="28.5" customHeight="true" spans="1:15">
      <c r="A13" s="168" t="s">
        <v>80</v>
      </c>
      <c r="B13" s="169">
        <f t="shared" si="1"/>
        <v>0</v>
      </c>
      <c r="C13" s="171">
        <v>0</v>
      </c>
      <c r="D13" s="171">
        <v>0</v>
      </c>
      <c r="E13" s="169">
        <f t="shared" ref="E13:E18" si="8">F13+G13</f>
        <v>0</v>
      </c>
      <c r="F13" s="171"/>
      <c r="G13" s="171">
        <v>0</v>
      </c>
      <c r="H13" s="180">
        <f t="shared" si="3"/>
        <v>0</v>
      </c>
      <c r="I13" s="180">
        <f t="shared" si="4"/>
        <v>0</v>
      </c>
      <c r="J13" s="187">
        <f t="shared" si="5"/>
        <v>0</v>
      </c>
      <c r="K13" s="189" t="s">
        <v>81</v>
      </c>
      <c r="L13" s="189" t="s">
        <v>81</v>
      </c>
      <c r="M13" s="189" t="s">
        <v>81</v>
      </c>
      <c r="N13" s="195" t="s">
        <v>75</v>
      </c>
      <c r="O13" s="196"/>
    </row>
    <row r="14" ht="28.5" customHeight="true" spans="1:15">
      <c r="A14" s="168" t="s">
        <v>82</v>
      </c>
      <c r="B14" s="169">
        <f t="shared" si="1"/>
        <v>13293</v>
      </c>
      <c r="C14" s="169">
        <f t="shared" ref="C14:G14" si="9">C15+C16+C17+C18</f>
        <v>13293</v>
      </c>
      <c r="D14" s="169">
        <v>0</v>
      </c>
      <c r="E14" s="169">
        <f t="shared" si="8"/>
        <v>13279</v>
      </c>
      <c r="F14" s="169">
        <f t="shared" si="9"/>
        <v>13279</v>
      </c>
      <c r="G14" s="169">
        <f t="shared" si="9"/>
        <v>0</v>
      </c>
      <c r="H14" s="180">
        <f t="shared" si="3"/>
        <v>-14</v>
      </c>
      <c r="I14" s="180">
        <f t="shared" si="4"/>
        <v>-14</v>
      </c>
      <c r="J14" s="187">
        <f t="shared" si="5"/>
        <v>0</v>
      </c>
      <c r="K14" s="188">
        <f t="shared" si="6"/>
        <v>-0.105318588730911</v>
      </c>
      <c r="L14" s="188">
        <f>I14/C14*100</f>
        <v>-0.105318588730911</v>
      </c>
      <c r="M14" s="189">
        <v>0</v>
      </c>
      <c r="N14" s="195" t="s">
        <v>75</v>
      </c>
      <c r="O14" s="196"/>
    </row>
    <row r="15" ht="28.5" customHeight="true" spans="1:15">
      <c r="A15" s="173" t="s">
        <v>83</v>
      </c>
      <c r="B15" s="169">
        <f t="shared" si="1"/>
        <v>1400</v>
      </c>
      <c r="C15" s="171">
        <v>1400</v>
      </c>
      <c r="D15" s="171">
        <v>0</v>
      </c>
      <c r="E15" s="169">
        <f t="shared" si="8"/>
        <v>1400</v>
      </c>
      <c r="F15" s="171">
        <v>1400</v>
      </c>
      <c r="G15" s="171">
        <v>0</v>
      </c>
      <c r="H15" s="180">
        <f t="shared" si="3"/>
        <v>0</v>
      </c>
      <c r="I15" s="180">
        <f t="shared" si="4"/>
        <v>0</v>
      </c>
      <c r="J15" s="187">
        <f t="shared" si="5"/>
        <v>0</v>
      </c>
      <c r="K15" s="188">
        <f t="shared" si="6"/>
        <v>0</v>
      </c>
      <c r="L15" s="188">
        <f>I15/C15*100</f>
        <v>0</v>
      </c>
      <c r="M15" s="189">
        <v>0</v>
      </c>
      <c r="N15" s="195"/>
      <c r="O15" s="196"/>
    </row>
    <row r="16" ht="28.5" customHeight="true" spans="1:15">
      <c r="A16" s="174" t="s">
        <v>84</v>
      </c>
      <c r="B16" s="169">
        <f t="shared" si="1"/>
        <v>1074</v>
      </c>
      <c r="C16" s="171">
        <v>1074</v>
      </c>
      <c r="D16" s="171">
        <v>0</v>
      </c>
      <c r="E16" s="169">
        <f t="shared" si="8"/>
        <v>1074</v>
      </c>
      <c r="F16" s="171">
        <v>1074</v>
      </c>
      <c r="G16" s="171">
        <v>0</v>
      </c>
      <c r="H16" s="180">
        <f t="shared" si="3"/>
        <v>0</v>
      </c>
      <c r="I16" s="180">
        <f t="shared" si="4"/>
        <v>0</v>
      </c>
      <c r="J16" s="187">
        <f t="shared" si="5"/>
        <v>0</v>
      </c>
      <c r="K16" s="188">
        <f t="shared" si="6"/>
        <v>0</v>
      </c>
      <c r="L16" s="188">
        <f>I16/C16*100</f>
        <v>0</v>
      </c>
      <c r="M16" s="189">
        <v>0</v>
      </c>
      <c r="N16" s="195" t="s">
        <v>75</v>
      </c>
      <c r="O16" s="196"/>
    </row>
    <row r="17" ht="28.5" customHeight="true" spans="1:15">
      <c r="A17" s="173" t="s">
        <v>85</v>
      </c>
      <c r="B17" s="169">
        <f t="shared" si="1"/>
        <v>8042</v>
      </c>
      <c r="C17" s="171">
        <v>8042</v>
      </c>
      <c r="D17" s="171">
        <v>0</v>
      </c>
      <c r="E17" s="169">
        <f t="shared" si="8"/>
        <v>8042</v>
      </c>
      <c r="F17" s="171">
        <v>8042</v>
      </c>
      <c r="G17" s="171">
        <v>0</v>
      </c>
      <c r="H17" s="180">
        <f t="shared" si="3"/>
        <v>0</v>
      </c>
      <c r="I17" s="180">
        <f t="shared" si="4"/>
        <v>0</v>
      </c>
      <c r="J17" s="187">
        <f t="shared" si="5"/>
        <v>0</v>
      </c>
      <c r="K17" s="188">
        <f t="shared" si="6"/>
        <v>0</v>
      </c>
      <c r="L17" s="188">
        <f>I17/C17*100</f>
        <v>0</v>
      </c>
      <c r="M17" s="189">
        <v>0</v>
      </c>
      <c r="N17" s="195" t="s">
        <v>75</v>
      </c>
      <c r="O17" s="196"/>
    </row>
    <row r="18" ht="47.25" customHeight="true" spans="1:15">
      <c r="A18" s="173" t="s">
        <v>86</v>
      </c>
      <c r="B18" s="169">
        <f t="shared" si="1"/>
        <v>2777</v>
      </c>
      <c r="C18" s="171">
        <v>2777</v>
      </c>
      <c r="D18" s="171">
        <v>0</v>
      </c>
      <c r="E18" s="169">
        <f t="shared" si="8"/>
        <v>2763</v>
      </c>
      <c r="F18" s="171">
        <v>2763</v>
      </c>
      <c r="G18" s="171">
        <v>0</v>
      </c>
      <c r="H18" s="180">
        <f t="shared" si="3"/>
        <v>-14</v>
      </c>
      <c r="I18" s="180">
        <f t="shared" si="4"/>
        <v>-14</v>
      </c>
      <c r="J18" s="187">
        <f t="shared" si="5"/>
        <v>0</v>
      </c>
      <c r="K18" s="188" t="s">
        <v>81</v>
      </c>
      <c r="L18" s="188" t="s">
        <v>81</v>
      </c>
      <c r="M18" s="189" t="s">
        <v>81</v>
      </c>
      <c r="N18" s="195" t="s">
        <v>75</v>
      </c>
      <c r="O18" s="196"/>
    </row>
    <row r="19" ht="28.5" customHeight="true" spans="1:15">
      <c r="A19" s="168" t="s">
        <v>87</v>
      </c>
      <c r="B19" s="169">
        <f t="shared" ref="B19:G19" si="10">SUM(B20:B21)</f>
        <v>1136</v>
      </c>
      <c r="C19" s="169">
        <f t="shared" si="10"/>
        <v>1136</v>
      </c>
      <c r="D19" s="169">
        <f t="shared" si="10"/>
        <v>0</v>
      </c>
      <c r="E19" s="169">
        <f t="shared" si="10"/>
        <v>1662</v>
      </c>
      <c r="F19" s="169">
        <f t="shared" si="10"/>
        <v>1662</v>
      </c>
      <c r="G19" s="169">
        <f t="shared" si="10"/>
        <v>0</v>
      </c>
      <c r="H19" s="180">
        <f t="shared" si="3"/>
        <v>526</v>
      </c>
      <c r="I19" s="180">
        <f t="shared" si="4"/>
        <v>526</v>
      </c>
      <c r="J19" s="187">
        <f t="shared" si="5"/>
        <v>0</v>
      </c>
      <c r="K19" s="188">
        <f t="shared" si="6"/>
        <v>46.3028169014084</v>
      </c>
      <c r="L19" s="188">
        <f>I19/C19*100</f>
        <v>46.3028169014084</v>
      </c>
      <c r="M19" s="189">
        <v>0</v>
      </c>
      <c r="N19" s="195" t="s">
        <v>75</v>
      </c>
      <c r="O19" s="196"/>
    </row>
    <row r="20" ht="28.5" customHeight="true" spans="1:15">
      <c r="A20" s="173" t="s">
        <v>88</v>
      </c>
      <c r="B20" s="169">
        <f t="shared" ref="B20:B71" si="11">C20+D20</f>
        <v>467</v>
      </c>
      <c r="C20" s="171">
        <v>467</v>
      </c>
      <c r="D20" s="171">
        <v>0</v>
      </c>
      <c r="E20" s="169">
        <f t="shared" ref="E20:E46" si="12">F20+G20</f>
        <v>467</v>
      </c>
      <c r="F20" s="171">
        <v>467</v>
      </c>
      <c r="G20" s="171">
        <v>0</v>
      </c>
      <c r="H20" s="180">
        <f t="shared" si="3"/>
        <v>0</v>
      </c>
      <c r="I20" s="180">
        <f t="shared" si="4"/>
        <v>0</v>
      </c>
      <c r="J20" s="187">
        <f t="shared" si="5"/>
        <v>0</v>
      </c>
      <c r="K20" s="188">
        <f t="shared" si="6"/>
        <v>0</v>
      </c>
      <c r="L20" s="188">
        <f>I20/C20*100</f>
        <v>0</v>
      </c>
      <c r="M20" s="189">
        <v>0</v>
      </c>
      <c r="N20" s="195" t="s">
        <v>75</v>
      </c>
      <c r="O20" s="196"/>
    </row>
    <row r="21" ht="75" customHeight="true" spans="1:15">
      <c r="A21" s="173" t="s">
        <v>89</v>
      </c>
      <c r="B21" s="169">
        <f t="shared" si="11"/>
        <v>669</v>
      </c>
      <c r="C21" s="171">
        <v>669</v>
      </c>
      <c r="D21" s="171">
        <v>0</v>
      </c>
      <c r="E21" s="169">
        <f t="shared" si="12"/>
        <v>1195</v>
      </c>
      <c r="F21" s="171">
        <v>1195</v>
      </c>
      <c r="G21" s="171">
        <v>0</v>
      </c>
      <c r="H21" s="180">
        <f t="shared" si="3"/>
        <v>526</v>
      </c>
      <c r="I21" s="180">
        <f t="shared" si="4"/>
        <v>526</v>
      </c>
      <c r="J21" s="187">
        <f t="shared" si="5"/>
        <v>0</v>
      </c>
      <c r="K21" s="188">
        <v>0</v>
      </c>
      <c r="L21" s="188">
        <v>0</v>
      </c>
      <c r="M21" s="189">
        <v>0</v>
      </c>
      <c r="N21" s="195" t="s">
        <v>75</v>
      </c>
      <c r="O21" s="196"/>
    </row>
    <row r="22" ht="51" customHeight="true" spans="1:15">
      <c r="A22" s="175" t="s">
        <v>90</v>
      </c>
      <c r="B22" s="169">
        <f t="shared" si="11"/>
        <v>6635</v>
      </c>
      <c r="C22" s="171">
        <f>C23+C24+C25+C26+C28+C27</f>
        <v>6635</v>
      </c>
      <c r="D22" s="171">
        <f t="shared" ref="D22:G22" si="13">D23+D24+D25+D26+D28</f>
        <v>0</v>
      </c>
      <c r="E22" s="169">
        <f t="shared" si="12"/>
        <v>5418</v>
      </c>
      <c r="F22" s="171">
        <f>F23+F24+F25+F26+F28+F27</f>
        <v>5418</v>
      </c>
      <c r="G22" s="171">
        <f t="shared" si="13"/>
        <v>0</v>
      </c>
      <c r="H22" s="180">
        <f t="shared" si="3"/>
        <v>-1217</v>
      </c>
      <c r="I22" s="180">
        <f t="shared" si="4"/>
        <v>-1217</v>
      </c>
      <c r="J22" s="187">
        <f t="shared" si="5"/>
        <v>0</v>
      </c>
      <c r="K22" s="188">
        <f t="shared" si="6"/>
        <v>-18.3421250941974</v>
      </c>
      <c r="L22" s="188">
        <f>I22/C22*100</f>
        <v>-18.3421250941974</v>
      </c>
      <c r="M22" s="189">
        <v>0</v>
      </c>
      <c r="N22" s="195" t="s">
        <v>75</v>
      </c>
      <c r="O22" s="196"/>
    </row>
    <row r="23" ht="43.5" customHeight="true" spans="1:15">
      <c r="A23" s="176" t="s">
        <v>91</v>
      </c>
      <c r="B23" s="169">
        <f t="shared" si="11"/>
        <v>3000</v>
      </c>
      <c r="C23" s="171">
        <v>3000</v>
      </c>
      <c r="D23" s="171">
        <v>0</v>
      </c>
      <c r="E23" s="169">
        <f t="shared" si="12"/>
        <v>3000</v>
      </c>
      <c r="F23" s="171">
        <v>3000</v>
      </c>
      <c r="G23" s="171">
        <v>0</v>
      </c>
      <c r="H23" s="180">
        <f t="shared" si="3"/>
        <v>0</v>
      </c>
      <c r="I23" s="180">
        <f t="shared" si="4"/>
        <v>0</v>
      </c>
      <c r="J23" s="187">
        <f t="shared" si="5"/>
        <v>0</v>
      </c>
      <c r="K23" s="188">
        <f t="shared" si="6"/>
        <v>0</v>
      </c>
      <c r="L23" s="188">
        <f>I23/C23*100</f>
        <v>0</v>
      </c>
      <c r="M23" s="189">
        <v>0</v>
      </c>
      <c r="N23" s="195" t="s">
        <v>75</v>
      </c>
      <c r="O23" s="196"/>
    </row>
    <row r="24" ht="55.5" customHeight="true" spans="1:16">
      <c r="A24" s="176" t="s">
        <v>92</v>
      </c>
      <c r="B24" s="169">
        <f t="shared" si="11"/>
        <v>135</v>
      </c>
      <c r="C24" s="171">
        <v>135</v>
      </c>
      <c r="D24" s="171"/>
      <c r="E24" s="169">
        <f t="shared" si="12"/>
        <v>135</v>
      </c>
      <c r="F24" s="171">
        <v>135</v>
      </c>
      <c r="G24" s="171">
        <v>0</v>
      </c>
      <c r="H24" s="180">
        <f t="shared" si="3"/>
        <v>0</v>
      </c>
      <c r="I24" s="180">
        <f t="shared" si="4"/>
        <v>0</v>
      </c>
      <c r="J24" s="187">
        <f t="shared" si="5"/>
        <v>0</v>
      </c>
      <c r="K24" s="188">
        <v>0</v>
      </c>
      <c r="L24" s="188">
        <v>0</v>
      </c>
      <c r="M24" s="189">
        <v>0</v>
      </c>
      <c r="N24" s="197" t="s">
        <v>93</v>
      </c>
      <c r="O24" s="198"/>
      <c r="P24" s="199"/>
    </row>
    <row r="25" ht="28.5" customHeight="true" spans="1:15">
      <c r="A25" s="174" t="s">
        <v>94</v>
      </c>
      <c r="B25" s="169">
        <f t="shared" si="11"/>
        <v>0</v>
      </c>
      <c r="C25" s="171"/>
      <c r="D25" s="171"/>
      <c r="E25" s="169">
        <f t="shared" si="12"/>
        <v>0</v>
      </c>
      <c r="F25" s="171"/>
      <c r="G25" s="171">
        <v>0</v>
      </c>
      <c r="H25" s="180">
        <f t="shared" si="3"/>
        <v>0</v>
      </c>
      <c r="I25" s="180">
        <f t="shared" si="4"/>
        <v>0</v>
      </c>
      <c r="J25" s="187">
        <f t="shared" si="5"/>
        <v>0</v>
      </c>
      <c r="K25" s="188" t="s">
        <v>81</v>
      </c>
      <c r="L25" s="188" t="s">
        <v>81</v>
      </c>
      <c r="M25" s="188" t="s">
        <v>81</v>
      </c>
      <c r="N25" s="197" t="s">
        <v>75</v>
      </c>
      <c r="O25" s="198"/>
    </row>
    <row r="26" ht="28.5" customHeight="true" spans="1:16">
      <c r="A26" s="174" t="s">
        <v>95</v>
      </c>
      <c r="B26" s="169">
        <f t="shared" si="11"/>
        <v>0</v>
      </c>
      <c r="C26" s="171"/>
      <c r="D26" s="171"/>
      <c r="E26" s="169">
        <f t="shared" si="12"/>
        <v>292</v>
      </c>
      <c r="F26" s="171">
        <v>292</v>
      </c>
      <c r="G26" s="171">
        <v>0</v>
      </c>
      <c r="H26" s="180">
        <f t="shared" si="3"/>
        <v>292</v>
      </c>
      <c r="I26" s="180">
        <f t="shared" si="4"/>
        <v>292</v>
      </c>
      <c r="J26" s="187">
        <f t="shared" si="5"/>
        <v>0</v>
      </c>
      <c r="K26" s="188" t="s">
        <v>81</v>
      </c>
      <c r="L26" s="188" t="s">
        <v>81</v>
      </c>
      <c r="M26" s="189" t="s">
        <v>81</v>
      </c>
      <c r="N26" s="197" t="s">
        <v>93</v>
      </c>
      <c r="O26" s="198"/>
      <c r="P26" s="199"/>
    </row>
    <row r="27" ht="43.5" customHeight="true" spans="1:16">
      <c r="A27" s="174" t="s">
        <v>96</v>
      </c>
      <c r="B27" s="169">
        <f t="shared" si="11"/>
        <v>1500</v>
      </c>
      <c r="C27" s="171">
        <v>1500</v>
      </c>
      <c r="D27" s="171"/>
      <c r="E27" s="169">
        <f t="shared" si="12"/>
        <v>1500</v>
      </c>
      <c r="F27" s="171">
        <v>1500</v>
      </c>
      <c r="G27" s="171">
        <v>0</v>
      </c>
      <c r="H27" s="180">
        <f t="shared" si="3"/>
        <v>0</v>
      </c>
      <c r="I27" s="180">
        <f t="shared" si="4"/>
        <v>0</v>
      </c>
      <c r="J27" s="187">
        <f t="shared" si="5"/>
        <v>0</v>
      </c>
      <c r="K27" s="188" t="s">
        <v>81</v>
      </c>
      <c r="L27" s="188" t="s">
        <v>81</v>
      </c>
      <c r="M27" s="189" t="s">
        <v>81</v>
      </c>
      <c r="N27" s="197" t="s">
        <v>93</v>
      </c>
      <c r="O27" s="198"/>
      <c r="P27" s="199"/>
    </row>
    <row r="28" ht="28.5" customHeight="true" spans="1:16">
      <c r="A28" s="174" t="s">
        <v>97</v>
      </c>
      <c r="B28" s="169">
        <f t="shared" si="11"/>
        <v>2000</v>
      </c>
      <c r="C28" s="171">
        <v>2000</v>
      </c>
      <c r="D28" s="171"/>
      <c r="E28" s="169">
        <f t="shared" si="12"/>
        <v>491</v>
      </c>
      <c r="F28" s="171">
        <v>491</v>
      </c>
      <c r="G28" s="171">
        <v>0</v>
      </c>
      <c r="H28" s="180">
        <f t="shared" si="3"/>
        <v>-1509</v>
      </c>
      <c r="I28" s="180">
        <f t="shared" si="4"/>
        <v>-1509</v>
      </c>
      <c r="J28" s="187">
        <f t="shared" si="5"/>
        <v>0</v>
      </c>
      <c r="K28" s="188">
        <f t="shared" si="6"/>
        <v>-75.45</v>
      </c>
      <c r="L28" s="188" t="s">
        <v>81</v>
      </c>
      <c r="M28" s="189"/>
      <c r="N28" s="197" t="s">
        <v>93</v>
      </c>
      <c r="O28" s="198"/>
      <c r="P28" s="199"/>
    </row>
    <row r="29" ht="28.5" customHeight="true" spans="1:16">
      <c r="A29" s="177" t="s">
        <v>98</v>
      </c>
      <c r="B29" s="169">
        <f t="shared" si="11"/>
        <v>0</v>
      </c>
      <c r="C29" s="171"/>
      <c r="D29" s="171"/>
      <c r="E29" s="169">
        <f t="shared" si="12"/>
        <v>238</v>
      </c>
      <c r="F29" s="171">
        <v>238</v>
      </c>
      <c r="G29" s="171"/>
      <c r="H29" s="180">
        <f t="shared" si="3"/>
        <v>238</v>
      </c>
      <c r="I29" s="180">
        <f t="shared" si="4"/>
        <v>238</v>
      </c>
      <c r="J29" s="187">
        <f t="shared" si="5"/>
        <v>0</v>
      </c>
      <c r="K29" s="188" t="s">
        <v>81</v>
      </c>
      <c r="L29" s="188" t="s">
        <v>81</v>
      </c>
      <c r="M29" s="189">
        <v>0</v>
      </c>
      <c r="N29" s="197" t="s">
        <v>93</v>
      </c>
      <c r="O29" s="198"/>
      <c r="P29" s="199"/>
    </row>
    <row r="30" ht="28.5" customHeight="true" spans="1:16">
      <c r="A30" s="177" t="s">
        <v>99</v>
      </c>
      <c r="B30" s="169">
        <f t="shared" si="11"/>
        <v>0</v>
      </c>
      <c r="C30" s="171"/>
      <c r="D30" s="171"/>
      <c r="E30" s="169">
        <f t="shared" si="12"/>
        <v>635.78</v>
      </c>
      <c r="F30" s="171">
        <v>635.78</v>
      </c>
      <c r="G30" s="171"/>
      <c r="H30" s="180">
        <f t="shared" si="3"/>
        <v>635.78</v>
      </c>
      <c r="I30" s="180">
        <f t="shared" si="4"/>
        <v>635.78</v>
      </c>
      <c r="J30" s="187">
        <f t="shared" si="5"/>
        <v>0</v>
      </c>
      <c r="K30" s="188">
        <v>0</v>
      </c>
      <c r="L30" s="188">
        <v>0</v>
      </c>
      <c r="M30" s="189">
        <v>0</v>
      </c>
      <c r="N30" s="197"/>
      <c r="O30" s="198"/>
      <c r="P30" s="199"/>
    </row>
    <row r="31" ht="28.5" customHeight="true" spans="1:15">
      <c r="A31" s="177" t="s">
        <v>100</v>
      </c>
      <c r="B31" s="169">
        <f t="shared" si="11"/>
        <v>8</v>
      </c>
      <c r="C31" s="171">
        <v>8</v>
      </c>
      <c r="D31" s="171"/>
      <c r="E31" s="169">
        <f t="shared" si="12"/>
        <v>0.48</v>
      </c>
      <c r="F31" s="171">
        <v>0.48</v>
      </c>
      <c r="G31" s="171">
        <v>0</v>
      </c>
      <c r="H31" s="180">
        <f t="shared" si="3"/>
        <v>-7.52</v>
      </c>
      <c r="I31" s="180">
        <f t="shared" si="4"/>
        <v>-7.52</v>
      </c>
      <c r="J31" s="187">
        <f t="shared" si="5"/>
        <v>0</v>
      </c>
      <c r="K31" s="188" t="s">
        <v>81</v>
      </c>
      <c r="L31" s="188" t="s">
        <v>81</v>
      </c>
      <c r="M31" s="189" t="s">
        <v>81</v>
      </c>
      <c r="N31" s="197" t="s">
        <v>93</v>
      </c>
      <c r="O31" s="198"/>
    </row>
    <row r="32" ht="28.5" customHeight="true" spans="1:15">
      <c r="A32" s="177" t="s">
        <v>101</v>
      </c>
      <c r="B32" s="169">
        <f t="shared" si="11"/>
        <v>1607</v>
      </c>
      <c r="C32" s="171">
        <v>1607</v>
      </c>
      <c r="D32" s="171"/>
      <c r="E32" s="169">
        <f t="shared" si="12"/>
        <v>1443.04</v>
      </c>
      <c r="F32" s="171">
        <v>1443.04</v>
      </c>
      <c r="G32" s="171">
        <v>0</v>
      </c>
      <c r="H32" s="180">
        <f t="shared" si="3"/>
        <v>-163.96</v>
      </c>
      <c r="I32" s="180">
        <f t="shared" si="4"/>
        <v>-163.96</v>
      </c>
      <c r="J32" s="187">
        <f t="shared" si="5"/>
        <v>0</v>
      </c>
      <c r="K32" s="188" t="s">
        <v>81</v>
      </c>
      <c r="L32" s="188" t="s">
        <v>81</v>
      </c>
      <c r="M32" s="189" t="s">
        <v>81</v>
      </c>
      <c r="N32" s="197" t="s">
        <v>93</v>
      </c>
      <c r="O32" s="198"/>
    </row>
    <row r="33" ht="28.5" customHeight="true" spans="1:15">
      <c r="A33" s="177" t="s">
        <v>102</v>
      </c>
      <c r="B33" s="169">
        <f t="shared" si="11"/>
        <v>6000</v>
      </c>
      <c r="C33" s="171">
        <v>6000</v>
      </c>
      <c r="D33" s="171"/>
      <c r="E33" s="169">
        <f t="shared" si="12"/>
        <v>5398.59</v>
      </c>
      <c r="F33" s="171">
        <v>5398.59</v>
      </c>
      <c r="G33" s="171">
        <v>0</v>
      </c>
      <c r="H33" s="180">
        <f t="shared" si="3"/>
        <v>-601.41</v>
      </c>
      <c r="I33" s="180">
        <f t="shared" si="4"/>
        <v>-601.41</v>
      </c>
      <c r="J33" s="187">
        <f t="shared" si="5"/>
        <v>0</v>
      </c>
      <c r="K33" s="188" t="s">
        <v>81</v>
      </c>
      <c r="L33" s="188" t="s">
        <v>81</v>
      </c>
      <c r="M33" s="189" t="s">
        <v>81</v>
      </c>
      <c r="N33" s="197" t="s">
        <v>93</v>
      </c>
      <c r="O33" s="198"/>
    </row>
    <row r="34" ht="28.5" customHeight="true" spans="1:15">
      <c r="A34" s="177" t="s">
        <v>103</v>
      </c>
      <c r="B34" s="169">
        <f t="shared" si="11"/>
        <v>0</v>
      </c>
      <c r="C34" s="171"/>
      <c r="D34" s="171"/>
      <c r="E34" s="169">
        <f t="shared" si="12"/>
        <v>332.38</v>
      </c>
      <c r="F34" s="171">
        <v>332.38</v>
      </c>
      <c r="G34" s="171">
        <v>0</v>
      </c>
      <c r="H34" s="180">
        <f t="shared" si="3"/>
        <v>332.38</v>
      </c>
      <c r="I34" s="180">
        <f t="shared" si="4"/>
        <v>332.38</v>
      </c>
      <c r="J34" s="187">
        <f t="shared" si="5"/>
        <v>0</v>
      </c>
      <c r="K34" s="188">
        <v>0</v>
      </c>
      <c r="L34" s="188">
        <v>0</v>
      </c>
      <c r="M34" s="189">
        <v>0</v>
      </c>
      <c r="N34" s="197" t="s">
        <v>93</v>
      </c>
      <c r="O34" s="198"/>
    </row>
    <row r="35" ht="28.5" customHeight="true" spans="1:15">
      <c r="A35" s="177" t="s">
        <v>104</v>
      </c>
      <c r="B35" s="169">
        <f t="shared" si="11"/>
        <v>0</v>
      </c>
      <c r="C35" s="171"/>
      <c r="D35" s="171"/>
      <c r="E35" s="169">
        <f t="shared" si="12"/>
        <v>400</v>
      </c>
      <c r="F35" s="171">
        <v>400</v>
      </c>
      <c r="G35" s="171">
        <v>0</v>
      </c>
      <c r="H35" s="180">
        <f t="shared" si="3"/>
        <v>400</v>
      </c>
      <c r="I35" s="180">
        <f t="shared" si="4"/>
        <v>400</v>
      </c>
      <c r="J35" s="187">
        <f t="shared" si="5"/>
        <v>0</v>
      </c>
      <c r="K35" s="188" t="s">
        <v>81</v>
      </c>
      <c r="L35" s="188" t="s">
        <v>81</v>
      </c>
      <c r="M35" s="189" t="s">
        <v>81</v>
      </c>
      <c r="N35" s="197" t="s">
        <v>93</v>
      </c>
      <c r="O35" s="198"/>
    </row>
    <row r="36" ht="28.5" customHeight="true" spans="1:15">
      <c r="A36" s="177" t="s">
        <v>105</v>
      </c>
      <c r="B36" s="169">
        <f t="shared" si="11"/>
        <v>20000</v>
      </c>
      <c r="C36" s="171">
        <v>20000</v>
      </c>
      <c r="D36" s="171"/>
      <c r="E36" s="169">
        <f t="shared" si="12"/>
        <v>22272.74185</v>
      </c>
      <c r="F36" s="171">
        <v>22272.74185</v>
      </c>
      <c r="G36" s="171">
        <v>0</v>
      </c>
      <c r="H36" s="180">
        <f t="shared" si="3"/>
        <v>2272.74185</v>
      </c>
      <c r="I36" s="180">
        <f t="shared" si="4"/>
        <v>2272.74185</v>
      </c>
      <c r="J36" s="187">
        <f t="shared" si="5"/>
        <v>0</v>
      </c>
      <c r="K36" s="188" t="s">
        <v>81</v>
      </c>
      <c r="L36" s="188" t="s">
        <v>81</v>
      </c>
      <c r="M36" s="189" t="s">
        <v>81</v>
      </c>
      <c r="N36" s="197" t="s">
        <v>93</v>
      </c>
      <c r="O36" s="198"/>
    </row>
    <row r="37" ht="39.75" customHeight="true" spans="1:15">
      <c r="A37" s="177" t="s">
        <v>106</v>
      </c>
      <c r="B37" s="169">
        <f t="shared" si="11"/>
        <v>7600</v>
      </c>
      <c r="C37" s="171">
        <v>7600</v>
      </c>
      <c r="D37" s="171"/>
      <c r="E37" s="169">
        <f t="shared" si="12"/>
        <v>8011.432</v>
      </c>
      <c r="F37" s="171">
        <v>8011.432</v>
      </c>
      <c r="G37" s="171">
        <v>0</v>
      </c>
      <c r="H37" s="180">
        <f t="shared" si="3"/>
        <v>411.432</v>
      </c>
      <c r="I37" s="180">
        <f t="shared" si="4"/>
        <v>411.432</v>
      </c>
      <c r="J37" s="187">
        <f t="shared" si="5"/>
        <v>0</v>
      </c>
      <c r="K37" s="188" t="s">
        <v>81</v>
      </c>
      <c r="L37" s="188" t="s">
        <v>81</v>
      </c>
      <c r="M37" s="189" t="s">
        <v>81</v>
      </c>
      <c r="N37" s="197" t="s">
        <v>93</v>
      </c>
      <c r="O37" s="198"/>
    </row>
    <row r="38" ht="51.75" customHeight="true" spans="1:15">
      <c r="A38" s="177" t="s">
        <v>107</v>
      </c>
      <c r="B38" s="169">
        <f t="shared" si="11"/>
        <v>1000</v>
      </c>
      <c r="C38" s="171">
        <v>1000</v>
      </c>
      <c r="D38" s="171"/>
      <c r="E38" s="169">
        <f t="shared" si="12"/>
        <v>1281.99</v>
      </c>
      <c r="F38" s="171">
        <v>1281.99</v>
      </c>
      <c r="G38" s="171">
        <v>0</v>
      </c>
      <c r="H38" s="180">
        <f t="shared" ref="H38:H87" si="14">E38-B38</f>
        <v>281.99</v>
      </c>
      <c r="I38" s="180">
        <f t="shared" ref="I38:I87" si="15">F38-C38</f>
        <v>281.99</v>
      </c>
      <c r="J38" s="187">
        <f t="shared" ref="J38:J87" si="16">G38-D38</f>
        <v>0</v>
      </c>
      <c r="K38" s="188" t="s">
        <v>81</v>
      </c>
      <c r="L38" s="188" t="s">
        <v>81</v>
      </c>
      <c r="M38" s="189" t="s">
        <v>81</v>
      </c>
      <c r="N38" s="195" t="s">
        <v>93</v>
      </c>
      <c r="O38" s="196"/>
    </row>
    <row r="39" ht="28.5" customHeight="true" spans="1:15">
      <c r="A39" s="177" t="s">
        <v>108</v>
      </c>
      <c r="B39" s="169">
        <f t="shared" si="11"/>
        <v>14003</v>
      </c>
      <c r="C39" s="171">
        <v>14003</v>
      </c>
      <c r="D39" s="171">
        <v>0</v>
      </c>
      <c r="E39" s="169">
        <f t="shared" si="12"/>
        <v>13115.5043</v>
      </c>
      <c r="F39" s="171">
        <f>11263.5043+1926-74</f>
        <v>13115.5043</v>
      </c>
      <c r="G39" s="171">
        <v>0</v>
      </c>
      <c r="H39" s="180">
        <f t="shared" si="14"/>
        <v>-887.495699999999</v>
      </c>
      <c r="I39" s="180">
        <f t="shared" si="15"/>
        <v>-887.495699999999</v>
      </c>
      <c r="J39" s="187">
        <f t="shared" si="16"/>
        <v>0</v>
      </c>
      <c r="K39" s="188">
        <v>0</v>
      </c>
      <c r="L39" s="188">
        <v>0</v>
      </c>
      <c r="M39" s="189">
        <v>0</v>
      </c>
      <c r="N39" s="195" t="s">
        <v>93</v>
      </c>
      <c r="O39" s="196"/>
    </row>
    <row r="40" ht="28.5" customHeight="true" spans="1:15">
      <c r="A40" s="177" t="s">
        <v>109</v>
      </c>
      <c r="B40" s="169">
        <f t="shared" si="11"/>
        <v>2000</v>
      </c>
      <c r="C40" s="171">
        <v>2000</v>
      </c>
      <c r="D40" s="171"/>
      <c r="E40" s="169">
        <f t="shared" si="12"/>
        <v>2162.652</v>
      </c>
      <c r="F40" s="171">
        <v>2162.652</v>
      </c>
      <c r="G40" s="171">
        <v>0</v>
      </c>
      <c r="H40" s="180">
        <f t="shared" si="14"/>
        <v>162.652</v>
      </c>
      <c r="I40" s="180">
        <f t="shared" si="15"/>
        <v>162.652</v>
      </c>
      <c r="J40" s="187">
        <f t="shared" si="16"/>
        <v>0</v>
      </c>
      <c r="K40" s="188" t="s">
        <v>81</v>
      </c>
      <c r="L40" s="188" t="s">
        <v>81</v>
      </c>
      <c r="M40" s="189" t="s">
        <v>81</v>
      </c>
      <c r="N40" s="195"/>
      <c r="O40" s="196"/>
    </row>
    <row r="41" ht="28.5" customHeight="true" spans="1:15">
      <c r="A41" s="177" t="s">
        <v>110</v>
      </c>
      <c r="B41" s="169">
        <f t="shared" si="11"/>
        <v>0</v>
      </c>
      <c r="C41" s="171"/>
      <c r="D41" s="171"/>
      <c r="E41" s="169">
        <f t="shared" si="12"/>
        <v>0</v>
      </c>
      <c r="F41" s="171"/>
      <c r="G41" s="171">
        <v>0</v>
      </c>
      <c r="H41" s="180">
        <f t="shared" si="14"/>
        <v>0</v>
      </c>
      <c r="I41" s="180">
        <f t="shared" si="15"/>
        <v>0</v>
      </c>
      <c r="J41" s="187">
        <f t="shared" si="16"/>
        <v>0</v>
      </c>
      <c r="K41" s="188" t="s">
        <v>81</v>
      </c>
      <c r="L41" s="188" t="s">
        <v>81</v>
      </c>
      <c r="M41" s="189" t="s">
        <v>81</v>
      </c>
      <c r="N41" s="195" t="s">
        <v>75</v>
      </c>
      <c r="O41" s="196"/>
    </row>
    <row r="42" ht="28.5" customHeight="true" spans="1:15">
      <c r="A42" s="177" t="s">
        <v>111</v>
      </c>
      <c r="B42" s="169">
        <f t="shared" si="11"/>
        <v>3500</v>
      </c>
      <c r="C42" s="171">
        <v>3500</v>
      </c>
      <c r="D42" s="171"/>
      <c r="E42" s="169">
        <f t="shared" si="12"/>
        <v>484</v>
      </c>
      <c r="F42" s="171">
        <v>484</v>
      </c>
      <c r="G42" s="171">
        <v>0</v>
      </c>
      <c r="H42" s="180">
        <f t="shared" si="14"/>
        <v>-3016</v>
      </c>
      <c r="I42" s="180">
        <f t="shared" si="15"/>
        <v>-3016</v>
      </c>
      <c r="J42" s="187">
        <f t="shared" si="16"/>
        <v>0</v>
      </c>
      <c r="K42" s="188" t="s">
        <v>81</v>
      </c>
      <c r="L42" s="188" t="s">
        <v>81</v>
      </c>
      <c r="M42" s="189" t="s">
        <v>81</v>
      </c>
      <c r="N42" s="195" t="s">
        <v>93</v>
      </c>
      <c r="O42" s="196"/>
    </row>
    <row r="43" ht="28.5" customHeight="true" spans="1:15">
      <c r="A43" s="177" t="s">
        <v>112</v>
      </c>
      <c r="B43" s="169">
        <f t="shared" si="11"/>
        <v>0</v>
      </c>
      <c r="C43" s="171"/>
      <c r="D43" s="171"/>
      <c r="E43" s="169">
        <f t="shared" si="12"/>
        <v>76</v>
      </c>
      <c r="F43" s="171">
        <v>76</v>
      </c>
      <c r="G43" s="171">
        <v>0</v>
      </c>
      <c r="H43" s="180">
        <f t="shared" si="14"/>
        <v>76</v>
      </c>
      <c r="I43" s="180">
        <f t="shared" si="15"/>
        <v>76</v>
      </c>
      <c r="J43" s="187">
        <f t="shared" si="16"/>
        <v>0</v>
      </c>
      <c r="K43" s="188" t="s">
        <v>81</v>
      </c>
      <c r="L43" s="188" t="s">
        <v>81</v>
      </c>
      <c r="M43" s="189" t="s">
        <v>81</v>
      </c>
      <c r="N43" s="195" t="s">
        <v>93</v>
      </c>
      <c r="O43" s="196"/>
    </row>
    <row r="44" ht="28.5" customHeight="true" spans="1:15">
      <c r="A44" s="177" t="s">
        <v>113</v>
      </c>
      <c r="B44" s="169">
        <f t="shared" si="11"/>
        <v>0</v>
      </c>
      <c r="C44" s="171"/>
      <c r="D44" s="171">
        <v>0</v>
      </c>
      <c r="E44" s="169">
        <f t="shared" si="12"/>
        <v>0</v>
      </c>
      <c r="F44" s="171"/>
      <c r="G44" s="171">
        <v>0</v>
      </c>
      <c r="H44" s="180">
        <f t="shared" si="14"/>
        <v>0</v>
      </c>
      <c r="I44" s="180">
        <f t="shared" si="15"/>
        <v>0</v>
      </c>
      <c r="J44" s="187">
        <f t="shared" si="16"/>
        <v>0</v>
      </c>
      <c r="K44" s="188">
        <v>0</v>
      </c>
      <c r="L44" s="188">
        <v>0</v>
      </c>
      <c r="M44" s="189" t="s">
        <v>81</v>
      </c>
      <c r="N44" s="195" t="s">
        <v>75</v>
      </c>
      <c r="O44" s="196"/>
    </row>
    <row r="45" ht="28.5" customHeight="true" spans="1:15">
      <c r="A45" s="177" t="s">
        <v>114</v>
      </c>
      <c r="B45" s="169">
        <f t="shared" si="11"/>
        <v>0</v>
      </c>
      <c r="C45" s="171"/>
      <c r="D45" s="171">
        <v>0</v>
      </c>
      <c r="E45" s="169">
        <f t="shared" si="12"/>
        <v>0</v>
      </c>
      <c r="F45" s="171"/>
      <c r="G45" s="171">
        <v>0</v>
      </c>
      <c r="H45" s="180">
        <f t="shared" si="14"/>
        <v>0</v>
      </c>
      <c r="I45" s="180">
        <f t="shared" si="15"/>
        <v>0</v>
      </c>
      <c r="J45" s="187">
        <f t="shared" si="16"/>
        <v>0</v>
      </c>
      <c r="K45" s="188"/>
      <c r="L45" s="188"/>
      <c r="M45" s="189" t="s">
        <v>81</v>
      </c>
      <c r="N45" s="195" t="s">
        <v>93</v>
      </c>
      <c r="O45" s="196"/>
    </row>
    <row r="46" ht="28.5" customHeight="true" spans="1:15">
      <c r="A46" s="177" t="s">
        <v>115</v>
      </c>
      <c r="B46" s="169">
        <f t="shared" si="11"/>
        <v>0</v>
      </c>
      <c r="C46" s="171"/>
      <c r="D46" s="171"/>
      <c r="E46" s="169">
        <f t="shared" si="12"/>
        <v>0</v>
      </c>
      <c r="F46" s="171"/>
      <c r="G46" s="171"/>
      <c r="H46" s="180">
        <f t="shared" si="14"/>
        <v>0</v>
      </c>
      <c r="I46" s="180">
        <f t="shared" si="15"/>
        <v>0</v>
      </c>
      <c r="J46" s="187">
        <f t="shared" si="16"/>
        <v>0</v>
      </c>
      <c r="K46" s="188" t="s">
        <v>81</v>
      </c>
      <c r="L46" s="188" t="s">
        <v>81</v>
      </c>
      <c r="M46" s="189" t="s">
        <v>81</v>
      </c>
      <c r="N46" s="195" t="s">
        <v>93</v>
      </c>
      <c r="O46" s="196"/>
    </row>
    <row r="47" ht="28.5" customHeight="true" spans="1:15">
      <c r="A47" s="177" t="s">
        <v>116</v>
      </c>
      <c r="B47" s="169">
        <f t="shared" si="11"/>
        <v>7702</v>
      </c>
      <c r="C47" s="171">
        <f>SUM(C48:C55)</f>
        <v>7702</v>
      </c>
      <c r="D47" s="171">
        <f t="shared" ref="D47:G47" si="17">SUM(D48:D55)</f>
        <v>0</v>
      </c>
      <c r="E47" s="171">
        <f t="shared" si="17"/>
        <v>4737.4</v>
      </c>
      <c r="F47" s="171">
        <f t="shared" si="17"/>
        <v>4737.4</v>
      </c>
      <c r="G47" s="171">
        <f t="shared" si="17"/>
        <v>0</v>
      </c>
      <c r="H47" s="180">
        <f t="shared" si="14"/>
        <v>-2964.6</v>
      </c>
      <c r="I47" s="180">
        <f t="shared" si="15"/>
        <v>-2964.6</v>
      </c>
      <c r="J47" s="187">
        <f t="shared" si="16"/>
        <v>0</v>
      </c>
      <c r="K47" s="188">
        <f t="shared" ref="K45:K75" si="18">H47/B47*100</f>
        <v>-38.4913009607894</v>
      </c>
      <c r="L47" s="188">
        <f t="shared" ref="L45:L71" si="19">I47/C47*100</f>
        <v>-38.4913009607894</v>
      </c>
      <c r="M47" s="189" t="s">
        <v>81</v>
      </c>
      <c r="N47" s="195" t="s">
        <v>93</v>
      </c>
      <c r="O47" s="196"/>
    </row>
    <row r="48" ht="28.5" customHeight="true" spans="1:15">
      <c r="A48" s="174" t="s">
        <v>117</v>
      </c>
      <c r="B48" s="169">
        <f t="shared" si="11"/>
        <v>2274</v>
      </c>
      <c r="C48" s="171">
        <v>2274</v>
      </c>
      <c r="D48" s="171"/>
      <c r="E48" s="169">
        <f t="shared" ref="E48:E57" si="20">F48+G48</f>
        <v>0</v>
      </c>
      <c r="F48" s="171"/>
      <c r="G48" s="171"/>
      <c r="H48" s="180">
        <f t="shared" si="14"/>
        <v>-2274</v>
      </c>
      <c r="I48" s="180">
        <f t="shared" si="15"/>
        <v>-2274</v>
      </c>
      <c r="J48" s="187">
        <f t="shared" si="16"/>
        <v>0</v>
      </c>
      <c r="K48" s="188" t="s">
        <v>81</v>
      </c>
      <c r="L48" s="188" t="s">
        <v>81</v>
      </c>
      <c r="M48" s="189" t="s">
        <v>81</v>
      </c>
      <c r="N48" s="195" t="s">
        <v>93</v>
      </c>
      <c r="O48" s="196"/>
    </row>
    <row r="49" ht="36" customHeight="true" spans="1:15">
      <c r="A49" s="174" t="s">
        <v>118</v>
      </c>
      <c r="B49" s="169">
        <f t="shared" si="11"/>
        <v>112</v>
      </c>
      <c r="C49" s="171">
        <v>112</v>
      </c>
      <c r="D49" s="171"/>
      <c r="E49" s="169">
        <f t="shared" si="20"/>
        <v>0</v>
      </c>
      <c r="F49" s="171"/>
      <c r="G49" s="171">
        <v>0</v>
      </c>
      <c r="H49" s="180">
        <f t="shared" si="14"/>
        <v>-112</v>
      </c>
      <c r="I49" s="180">
        <f t="shared" si="15"/>
        <v>-112</v>
      </c>
      <c r="J49" s="187">
        <f t="shared" si="16"/>
        <v>0</v>
      </c>
      <c r="K49" s="188" t="s">
        <v>81</v>
      </c>
      <c r="L49" s="188" t="s">
        <v>81</v>
      </c>
      <c r="M49" s="189" t="s">
        <v>81</v>
      </c>
      <c r="N49" s="195" t="s">
        <v>93</v>
      </c>
      <c r="O49" s="196"/>
    </row>
    <row r="50" ht="28.5" customHeight="true" spans="1:15">
      <c r="A50" s="174" t="s">
        <v>119</v>
      </c>
      <c r="B50" s="169">
        <f t="shared" si="11"/>
        <v>36</v>
      </c>
      <c r="C50" s="171">
        <v>36</v>
      </c>
      <c r="D50" s="171"/>
      <c r="E50" s="169">
        <f t="shared" si="20"/>
        <v>32.4</v>
      </c>
      <c r="F50" s="171">
        <v>32.4</v>
      </c>
      <c r="G50" s="171">
        <v>0</v>
      </c>
      <c r="H50" s="180">
        <f t="shared" si="14"/>
        <v>-3.6</v>
      </c>
      <c r="I50" s="180">
        <f t="shared" si="15"/>
        <v>-3.6</v>
      </c>
      <c r="J50" s="187">
        <f t="shared" si="16"/>
        <v>0</v>
      </c>
      <c r="K50" s="188" t="s">
        <v>81</v>
      </c>
      <c r="L50" s="188" t="s">
        <v>81</v>
      </c>
      <c r="M50" s="189" t="s">
        <v>81</v>
      </c>
      <c r="N50" s="195" t="s">
        <v>93</v>
      </c>
      <c r="O50" s="196"/>
    </row>
    <row r="51" ht="28.5" customHeight="true" spans="1:15">
      <c r="A51" s="174" t="s">
        <v>120</v>
      </c>
      <c r="B51" s="169">
        <f t="shared" si="11"/>
        <v>0</v>
      </c>
      <c r="C51" s="171"/>
      <c r="D51" s="171"/>
      <c r="E51" s="169">
        <f t="shared" si="20"/>
        <v>0</v>
      </c>
      <c r="F51" s="171"/>
      <c r="G51" s="171"/>
      <c r="H51" s="180">
        <f t="shared" si="14"/>
        <v>0</v>
      </c>
      <c r="I51" s="180">
        <f t="shared" si="15"/>
        <v>0</v>
      </c>
      <c r="J51" s="187">
        <f t="shared" si="16"/>
        <v>0</v>
      </c>
      <c r="K51" s="188" t="s">
        <v>81</v>
      </c>
      <c r="L51" s="188" t="s">
        <v>81</v>
      </c>
      <c r="M51" s="189" t="s">
        <v>81</v>
      </c>
      <c r="N51" s="195" t="s">
        <v>93</v>
      </c>
      <c r="O51" s="196"/>
    </row>
    <row r="52" ht="28.5" customHeight="true" spans="1:15">
      <c r="A52" s="174" t="s">
        <v>121</v>
      </c>
      <c r="B52" s="169">
        <f t="shared" si="11"/>
        <v>2896</v>
      </c>
      <c r="C52" s="171">
        <v>2896</v>
      </c>
      <c r="D52" s="171">
        <v>0</v>
      </c>
      <c r="E52" s="169">
        <f t="shared" si="20"/>
        <v>2896</v>
      </c>
      <c r="F52" s="171">
        <v>2896</v>
      </c>
      <c r="G52" s="171">
        <v>0</v>
      </c>
      <c r="H52" s="180">
        <f t="shared" si="14"/>
        <v>0</v>
      </c>
      <c r="I52" s="180">
        <f t="shared" si="15"/>
        <v>0</v>
      </c>
      <c r="J52" s="187">
        <f t="shared" si="16"/>
        <v>0</v>
      </c>
      <c r="K52" s="188">
        <f t="shared" si="18"/>
        <v>0</v>
      </c>
      <c r="L52" s="188">
        <f t="shared" si="19"/>
        <v>0</v>
      </c>
      <c r="M52" s="189" t="s">
        <v>81</v>
      </c>
      <c r="N52" s="195" t="s">
        <v>93</v>
      </c>
      <c r="O52" s="196"/>
    </row>
    <row r="53" ht="28.5" customHeight="true" spans="1:15">
      <c r="A53" s="174" t="s">
        <v>122</v>
      </c>
      <c r="B53" s="169">
        <f t="shared" si="11"/>
        <v>4</v>
      </c>
      <c r="C53" s="171">
        <v>4</v>
      </c>
      <c r="D53" s="171">
        <v>0</v>
      </c>
      <c r="E53" s="169">
        <f t="shared" si="20"/>
        <v>4</v>
      </c>
      <c r="F53" s="171">
        <v>4</v>
      </c>
      <c r="G53" s="171">
        <v>0</v>
      </c>
      <c r="H53" s="180">
        <f t="shared" si="14"/>
        <v>0</v>
      </c>
      <c r="I53" s="180">
        <f t="shared" si="15"/>
        <v>0</v>
      </c>
      <c r="J53" s="187">
        <f t="shared" si="16"/>
        <v>0</v>
      </c>
      <c r="K53" s="188">
        <f t="shared" si="18"/>
        <v>0</v>
      </c>
      <c r="L53" s="188">
        <f t="shared" si="19"/>
        <v>0</v>
      </c>
      <c r="M53" s="189" t="s">
        <v>81</v>
      </c>
      <c r="N53" s="195" t="s">
        <v>75</v>
      </c>
      <c r="O53" s="196"/>
    </row>
    <row r="54" ht="28.5" customHeight="true" spans="1:15">
      <c r="A54" s="174" t="s">
        <v>123</v>
      </c>
      <c r="B54" s="169">
        <f t="shared" si="11"/>
        <v>380</v>
      </c>
      <c r="C54" s="171">
        <v>380</v>
      </c>
      <c r="D54" s="171">
        <v>0</v>
      </c>
      <c r="E54" s="169">
        <f t="shared" si="20"/>
        <v>380</v>
      </c>
      <c r="F54" s="171">
        <v>380</v>
      </c>
      <c r="G54" s="171">
        <v>0</v>
      </c>
      <c r="H54" s="180">
        <f t="shared" si="14"/>
        <v>0</v>
      </c>
      <c r="I54" s="180">
        <f t="shared" si="15"/>
        <v>0</v>
      </c>
      <c r="J54" s="187">
        <f t="shared" si="16"/>
        <v>0</v>
      </c>
      <c r="K54" s="188">
        <f t="shared" si="18"/>
        <v>0</v>
      </c>
      <c r="L54" s="188">
        <f t="shared" si="19"/>
        <v>0</v>
      </c>
      <c r="M54" s="189" t="s">
        <v>81</v>
      </c>
      <c r="N54" s="195" t="s">
        <v>93</v>
      </c>
      <c r="O54" s="196"/>
    </row>
    <row r="55" ht="28.5" customHeight="true" spans="1:16">
      <c r="A55" s="174" t="s">
        <v>124</v>
      </c>
      <c r="B55" s="169">
        <f t="shared" si="11"/>
        <v>2000</v>
      </c>
      <c r="C55" s="171">
        <v>2000</v>
      </c>
      <c r="D55" s="171">
        <v>0</v>
      </c>
      <c r="E55" s="169">
        <f t="shared" si="20"/>
        <v>1425</v>
      </c>
      <c r="F55" s="171">
        <v>1425</v>
      </c>
      <c r="G55" s="171">
        <v>0</v>
      </c>
      <c r="H55" s="180">
        <f t="shared" si="14"/>
        <v>-575</v>
      </c>
      <c r="I55" s="180">
        <f t="shared" si="15"/>
        <v>-575</v>
      </c>
      <c r="J55" s="187">
        <f t="shared" si="16"/>
        <v>0</v>
      </c>
      <c r="K55" s="188">
        <f t="shared" si="18"/>
        <v>-28.75</v>
      </c>
      <c r="L55" s="188">
        <f t="shared" si="19"/>
        <v>-28.75</v>
      </c>
      <c r="M55" s="189">
        <v>0</v>
      </c>
      <c r="N55" s="195" t="s">
        <v>93</v>
      </c>
      <c r="O55" s="196"/>
      <c r="P55" s="200"/>
    </row>
    <row r="56" ht="28.5" customHeight="true" spans="1:15">
      <c r="A56" s="173" t="s">
        <v>125</v>
      </c>
      <c r="B56" s="169">
        <f t="shared" si="11"/>
        <v>23249</v>
      </c>
      <c r="C56" s="171">
        <f t="shared" ref="C56:G56" si="21">C57+C58</f>
        <v>15674</v>
      </c>
      <c r="D56" s="171">
        <f t="shared" si="21"/>
        <v>7575</v>
      </c>
      <c r="E56" s="169">
        <f t="shared" si="20"/>
        <v>33991.976088628</v>
      </c>
      <c r="F56" s="171">
        <f t="shared" si="21"/>
        <v>26410.976088628</v>
      </c>
      <c r="G56" s="171">
        <f t="shared" si="21"/>
        <v>7581</v>
      </c>
      <c r="H56" s="180">
        <f t="shared" si="14"/>
        <v>10742.976088628</v>
      </c>
      <c r="I56" s="180">
        <f t="shared" si="15"/>
        <v>10736.976088628</v>
      </c>
      <c r="J56" s="187">
        <f t="shared" si="16"/>
        <v>6</v>
      </c>
      <c r="K56" s="188">
        <f t="shared" si="18"/>
        <v>46.2083362236139</v>
      </c>
      <c r="L56" s="188">
        <f t="shared" si="19"/>
        <v>68.5018252432563</v>
      </c>
      <c r="M56" s="188">
        <f t="shared" ref="M56:M58" si="22">J56/D56*100</f>
        <v>0.0792079207920792</v>
      </c>
      <c r="N56" s="195" t="s">
        <v>93</v>
      </c>
      <c r="O56" s="196"/>
    </row>
    <row r="57" ht="28.5" customHeight="true" spans="1:15">
      <c r="A57" s="173" t="s">
        <v>126</v>
      </c>
      <c r="B57" s="169">
        <f t="shared" si="11"/>
        <v>7707</v>
      </c>
      <c r="C57" s="171">
        <v>7707</v>
      </c>
      <c r="D57" s="171">
        <v>0</v>
      </c>
      <c r="E57" s="169">
        <f t="shared" si="20"/>
        <v>11000</v>
      </c>
      <c r="F57" s="171">
        <v>11000</v>
      </c>
      <c r="G57" s="171">
        <v>0</v>
      </c>
      <c r="H57" s="180">
        <f t="shared" si="14"/>
        <v>3293</v>
      </c>
      <c r="I57" s="180">
        <f t="shared" si="15"/>
        <v>3293</v>
      </c>
      <c r="J57" s="187">
        <f t="shared" si="16"/>
        <v>0</v>
      </c>
      <c r="K57" s="188">
        <f t="shared" si="18"/>
        <v>42.727390683794</v>
      </c>
      <c r="L57" s="188">
        <f t="shared" si="19"/>
        <v>42.727390683794</v>
      </c>
      <c r="M57" s="189" t="s">
        <v>81</v>
      </c>
      <c r="N57" s="195" t="s">
        <v>93</v>
      </c>
      <c r="O57" s="196"/>
    </row>
    <row r="58" ht="28.5" customHeight="true" spans="1:15">
      <c r="A58" s="173" t="s">
        <v>127</v>
      </c>
      <c r="B58" s="169">
        <f t="shared" si="11"/>
        <v>15542</v>
      </c>
      <c r="C58" s="169">
        <f>SUM(C59:C79)</f>
        <v>7967</v>
      </c>
      <c r="D58" s="169">
        <f>SUM(D59:D76)</f>
        <v>7575</v>
      </c>
      <c r="E58" s="169">
        <f>SUM(E59:E79)</f>
        <v>22991.976088628</v>
      </c>
      <c r="F58" s="169">
        <f>SUM(F59:F79)</f>
        <v>15410.976088628</v>
      </c>
      <c r="G58" s="169">
        <f>SUM(G59:G79)</f>
        <v>7581</v>
      </c>
      <c r="H58" s="180">
        <f t="shared" si="14"/>
        <v>7449.976088628</v>
      </c>
      <c r="I58" s="180">
        <f t="shared" si="15"/>
        <v>7443.976088628</v>
      </c>
      <c r="J58" s="187">
        <f t="shared" si="16"/>
        <v>6</v>
      </c>
      <c r="K58" s="188">
        <f t="shared" si="18"/>
        <v>47.9344748978767</v>
      </c>
      <c r="L58" s="188">
        <f t="shared" si="19"/>
        <v>93.4351209819003</v>
      </c>
      <c r="M58" s="188">
        <f t="shared" si="22"/>
        <v>0.0792079207920792</v>
      </c>
      <c r="N58" s="195" t="s">
        <v>93</v>
      </c>
      <c r="O58" s="196"/>
    </row>
    <row r="59" ht="28.5" customHeight="true" spans="1:15">
      <c r="A59" s="173" t="s">
        <v>128</v>
      </c>
      <c r="B59" s="169">
        <f t="shared" si="11"/>
        <v>890</v>
      </c>
      <c r="C59" s="171">
        <v>890</v>
      </c>
      <c r="D59" s="171"/>
      <c r="E59" s="169">
        <f t="shared" ref="E59:E71" si="23">F59+G59</f>
        <v>890</v>
      </c>
      <c r="F59" s="171">
        <v>890</v>
      </c>
      <c r="G59" s="171"/>
      <c r="H59" s="180">
        <f t="shared" si="14"/>
        <v>0</v>
      </c>
      <c r="I59" s="180">
        <f t="shared" si="15"/>
        <v>0</v>
      </c>
      <c r="J59" s="187">
        <f t="shared" si="16"/>
        <v>0</v>
      </c>
      <c r="K59" s="188">
        <f t="shared" si="18"/>
        <v>0</v>
      </c>
      <c r="L59" s="188">
        <v>0</v>
      </c>
      <c r="M59" s="189" t="s">
        <v>81</v>
      </c>
      <c r="N59" s="195" t="s">
        <v>93</v>
      </c>
      <c r="O59" s="196"/>
    </row>
    <row r="60" ht="28.5" customHeight="true" spans="1:15">
      <c r="A60" s="173" t="s">
        <v>129</v>
      </c>
      <c r="B60" s="169">
        <f t="shared" si="11"/>
        <v>0</v>
      </c>
      <c r="C60" s="171"/>
      <c r="D60" s="171"/>
      <c r="E60" s="169">
        <f t="shared" si="23"/>
        <v>2919</v>
      </c>
      <c r="F60" s="171">
        <v>2919</v>
      </c>
      <c r="G60" s="171"/>
      <c r="H60" s="180">
        <f t="shared" si="14"/>
        <v>2919</v>
      </c>
      <c r="I60" s="180">
        <f t="shared" si="15"/>
        <v>2919</v>
      </c>
      <c r="J60" s="187">
        <f t="shared" si="16"/>
        <v>0</v>
      </c>
      <c r="K60" s="188"/>
      <c r="L60" s="188"/>
      <c r="M60" s="189" t="s">
        <v>81</v>
      </c>
      <c r="N60" s="195"/>
      <c r="O60" s="196"/>
    </row>
    <row r="61" ht="28.5" customHeight="true" spans="1:15">
      <c r="A61" s="173" t="s">
        <v>130</v>
      </c>
      <c r="B61" s="169">
        <f t="shared" si="11"/>
        <v>0</v>
      </c>
      <c r="C61" s="171"/>
      <c r="D61" s="171"/>
      <c r="E61" s="169">
        <f t="shared" si="23"/>
        <v>3668</v>
      </c>
      <c r="F61" s="171">
        <f>5072-1404</f>
        <v>3668</v>
      </c>
      <c r="G61" s="171"/>
      <c r="H61" s="180">
        <f t="shared" si="14"/>
        <v>3668</v>
      </c>
      <c r="I61" s="180">
        <f t="shared" si="15"/>
        <v>3668</v>
      </c>
      <c r="J61" s="187">
        <f t="shared" si="16"/>
        <v>0</v>
      </c>
      <c r="K61" s="188"/>
      <c r="L61" s="188"/>
      <c r="M61" s="189" t="s">
        <v>81</v>
      </c>
      <c r="N61" s="195"/>
      <c r="O61" s="196"/>
    </row>
    <row r="62" ht="28.5" customHeight="true" spans="1:15">
      <c r="A62" s="178" t="s">
        <v>131</v>
      </c>
      <c r="B62" s="169">
        <f t="shared" si="11"/>
        <v>329</v>
      </c>
      <c r="C62" s="171">
        <v>329</v>
      </c>
      <c r="D62" s="171"/>
      <c r="E62" s="169">
        <f t="shared" si="23"/>
        <v>329</v>
      </c>
      <c r="F62" s="171">
        <v>329</v>
      </c>
      <c r="G62" s="171"/>
      <c r="H62" s="180">
        <f t="shared" si="14"/>
        <v>0</v>
      </c>
      <c r="I62" s="180">
        <f t="shared" si="15"/>
        <v>0</v>
      </c>
      <c r="J62" s="187">
        <f t="shared" si="16"/>
        <v>0</v>
      </c>
      <c r="K62" s="188">
        <f t="shared" si="18"/>
        <v>0</v>
      </c>
      <c r="L62" s="188">
        <f t="shared" si="19"/>
        <v>0</v>
      </c>
      <c r="M62" s="189" t="s">
        <v>81</v>
      </c>
      <c r="N62" s="195"/>
      <c r="O62" s="196"/>
    </row>
    <row r="63" ht="28.5" customHeight="true" spans="1:15">
      <c r="A63" s="178" t="s">
        <v>132</v>
      </c>
      <c r="B63" s="169">
        <f t="shared" si="11"/>
        <v>0</v>
      </c>
      <c r="C63" s="171"/>
      <c r="D63" s="171"/>
      <c r="E63" s="169">
        <f t="shared" si="23"/>
        <v>0</v>
      </c>
      <c r="F63" s="171"/>
      <c r="G63" s="171"/>
      <c r="H63" s="180">
        <f t="shared" si="14"/>
        <v>0</v>
      </c>
      <c r="I63" s="180">
        <f t="shared" si="15"/>
        <v>0</v>
      </c>
      <c r="J63" s="187">
        <f t="shared" si="16"/>
        <v>0</v>
      </c>
      <c r="K63" s="188"/>
      <c r="L63" s="188"/>
      <c r="M63" s="189" t="s">
        <v>81</v>
      </c>
      <c r="N63" s="195"/>
      <c r="O63" s="196"/>
    </row>
    <row r="64" ht="28.5" customHeight="true" spans="1:15">
      <c r="A64" s="178" t="s">
        <v>133</v>
      </c>
      <c r="B64" s="169">
        <f t="shared" si="11"/>
        <v>584</v>
      </c>
      <c r="C64" s="171">
        <v>584</v>
      </c>
      <c r="D64" s="171"/>
      <c r="E64" s="169">
        <f t="shared" si="23"/>
        <v>304</v>
      </c>
      <c r="F64" s="171">
        <v>304</v>
      </c>
      <c r="G64" s="171"/>
      <c r="H64" s="180">
        <f t="shared" si="14"/>
        <v>-280</v>
      </c>
      <c r="I64" s="180">
        <f t="shared" si="15"/>
        <v>-280</v>
      </c>
      <c r="J64" s="187">
        <f t="shared" si="16"/>
        <v>0</v>
      </c>
      <c r="K64" s="188">
        <v>0</v>
      </c>
      <c r="L64" s="188">
        <v>0</v>
      </c>
      <c r="M64" s="189" t="s">
        <v>81</v>
      </c>
      <c r="N64" s="195"/>
      <c r="O64" s="196"/>
    </row>
    <row r="65" ht="42.75" customHeight="true" spans="1:15">
      <c r="A65" s="178" t="s">
        <v>134</v>
      </c>
      <c r="B65" s="169">
        <f t="shared" si="11"/>
        <v>0</v>
      </c>
      <c r="C65" s="171"/>
      <c r="D65" s="171"/>
      <c r="E65" s="169">
        <f t="shared" si="23"/>
        <v>0</v>
      </c>
      <c r="F65" s="171"/>
      <c r="G65" s="171"/>
      <c r="H65" s="180">
        <f t="shared" si="14"/>
        <v>0</v>
      </c>
      <c r="I65" s="180">
        <f t="shared" si="15"/>
        <v>0</v>
      </c>
      <c r="J65" s="187">
        <f t="shared" si="16"/>
        <v>0</v>
      </c>
      <c r="K65" s="188"/>
      <c r="L65" s="188"/>
      <c r="M65" s="189" t="s">
        <v>81</v>
      </c>
      <c r="N65" s="195"/>
      <c r="O65" s="196"/>
    </row>
    <row r="66" ht="42.75" customHeight="true" spans="1:15">
      <c r="A66" s="178" t="s">
        <v>135</v>
      </c>
      <c r="B66" s="169">
        <f t="shared" si="11"/>
        <v>904</v>
      </c>
      <c r="C66" s="171">
        <v>904</v>
      </c>
      <c r="D66" s="171"/>
      <c r="E66" s="169">
        <f t="shared" si="23"/>
        <v>904</v>
      </c>
      <c r="F66" s="171">
        <v>904</v>
      </c>
      <c r="G66" s="171"/>
      <c r="H66" s="180">
        <f t="shared" si="14"/>
        <v>0</v>
      </c>
      <c r="I66" s="180">
        <f t="shared" si="15"/>
        <v>0</v>
      </c>
      <c r="J66" s="187">
        <f t="shared" si="16"/>
        <v>0</v>
      </c>
      <c r="K66" s="188">
        <f t="shared" si="18"/>
        <v>0</v>
      </c>
      <c r="L66" s="188">
        <f t="shared" si="19"/>
        <v>0</v>
      </c>
      <c r="M66" s="189" t="s">
        <v>81</v>
      </c>
      <c r="N66" s="195"/>
      <c r="O66" s="196"/>
    </row>
    <row r="67" ht="42.75" customHeight="true" spans="1:15">
      <c r="A67" s="173" t="s">
        <v>136</v>
      </c>
      <c r="B67" s="169">
        <f t="shared" si="11"/>
        <v>1412</v>
      </c>
      <c r="C67" s="171">
        <v>1412</v>
      </c>
      <c r="D67" s="171"/>
      <c r="E67" s="169">
        <f t="shared" si="23"/>
        <v>1000</v>
      </c>
      <c r="F67" s="171">
        <v>1000</v>
      </c>
      <c r="G67" s="171"/>
      <c r="H67" s="180">
        <f t="shared" si="14"/>
        <v>-412</v>
      </c>
      <c r="I67" s="180">
        <f t="shared" si="15"/>
        <v>-412</v>
      </c>
      <c r="J67" s="187">
        <f t="shared" si="16"/>
        <v>0</v>
      </c>
      <c r="K67" s="188">
        <f t="shared" si="18"/>
        <v>-29.1784702549575</v>
      </c>
      <c r="L67" s="188">
        <f t="shared" si="19"/>
        <v>-29.1784702549575</v>
      </c>
      <c r="M67" s="189" t="s">
        <v>81</v>
      </c>
      <c r="N67" s="195"/>
      <c r="O67" s="196"/>
    </row>
    <row r="68" ht="42.75" hidden="true" customHeight="true" spans="1:15">
      <c r="A68" s="173" t="s">
        <v>137</v>
      </c>
      <c r="B68" s="169">
        <f t="shared" si="11"/>
        <v>0</v>
      </c>
      <c r="C68" s="171"/>
      <c r="D68" s="171"/>
      <c r="E68" s="169">
        <f t="shared" si="23"/>
        <v>0</v>
      </c>
      <c r="F68" s="171"/>
      <c r="G68" s="171"/>
      <c r="H68" s="180">
        <f t="shared" si="14"/>
        <v>0</v>
      </c>
      <c r="I68" s="180">
        <f t="shared" si="15"/>
        <v>0</v>
      </c>
      <c r="J68" s="187">
        <f t="shared" si="16"/>
        <v>0</v>
      </c>
      <c r="K68" s="188" t="e">
        <f t="shared" si="18"/>
        <v>#DIV/0!</v>
      </c>
      <c r="L68" s="188" t="e">
        <f t="shared" si="19"/>
        <v>#DIV/0!</v>
      </c>
      <c r="M68" s="189" t="s">
        <v>81</v>
      </c>
      <c r="N68" s="195"/>
      <c r="O68" s="196"/>
    </row>
    <row r="69" ht="42.75" customHeight="true" spans="1:15">
      <c r="A69" s="173" t="s">
        <v>138</v>
      </c>
      <c r="B69" s="169">
        <f t="shared" si="11"/>
        <v>584</v>
      </c>
      <c r="C69" s="171">
        <v>584</v>
      </c>
      <c r="D69" s="171"/>
      <c r="E69" s="169">
        <f t="shared" si="23"/>
        <v>584</v>
      </c>
      <c r="F69" s="171">
        <v>584</v>
      </c>
      <c r="G69" s="171"/>
      <c r="H69" s="180">
        <f t="shared" si="14"/>
        <v>0</v>
      </c>
      <c r="I69" s="180">
        <f t="shared" si="15"/>
        <v>0</v>
      </c>
      <c r="J69" s="187">
        <f t="shared" si="16"/>
        <v>0</v>
      </c>
      <c r="K69" s="188">
        <f t="shared" si="18"/>
        <v>0</v>
      </c>
      <c r="L69" s="188">
        <f t="shared" si="19"/>
        <v>0</v>
      </c>
      <c r="M69" s="189" t="s">
        <v>81</v>
      </c>
      <c r="N69" s="195"/>
      <c r="O69" s="196"/>
    </row>
    <row r="70" ht="44.25" customHeight="true" spans="1:15">
      <c r="A70" s="173" t="s">
        <v>139</v>
      </c>
      <c r="B70" s="169">
        <f t="shared" si="11"/>
        <v>0</v>
      </c>
      <c r="C70" s="171"/>
      <c r="D70" s="171"/>
      <c r="E70" s="169">
        <f t="shared" si="23"/>
        <v>0</v>
      </c>
      <c r="F70" s="171"/>
      <c r="G70" s="171"/>
      <c r="H70" s="180">
        <f t="shared" si="14"/>
        <v>0</v>
      </c>
      <c r="I70" s="180">
        <f t="shared" si="15"/>
        <v>0</v>
      </c>
      <c r="J70" s="187">
        <f t="shared" si="16"/>
        <v>0</v>
      </c>
      <c r="K70" s="188"/>
      <c r="L70" s="188"/>
      <c r="M70" s="189" t="s">
        <v>81</v>
      </c>
      <c r="N70" s="195"/>
      <c r="O70" s="196"/>
    </row>
    <row r="71" ht="49.5" customHeight="true" spans="1:15">
      <c r="A71" s="173" t="s">
        <v>140</v>
      </c>
      <c r="B71" s="169">
        <f t="shared" si="11"/>
        <v>427</v>
      </c>
      <c r="C71" s="171">
        <v>427</v>
      </c>
      <c r="D71" s="171"/>
      <c r="E71" s="169">
        <f t="shared" si="23"/>
        <v>427</v>
      </c>
      <c r="F71" s="171">
        <v>427</v>
      </c>
      <c r="G71" s="171"/>
      <c r="H71" s="180">
        <f t="shared" si="14"/>
        <v>0</v>
      </c>
      <c r="I71" s="180">
        <f t="shared" si="15"/>
        <v>0</v>
      </c>
      <c r="J71" s="187">
        <f t="shared" si="16"/>
        <v>0</v>
      </c>
      <c r="K71" s="188" t="s">
        <v>81</v>
      </c>
      <c r="L71" s="188">
        <f t="shared" si="19"/>
        <v>0</v>
      </c>
      <c r="M71" s="189" t="s">
        <v>81</v>
      </c>
      <c r="N71" s="195"/>
      <c r="O71" s="196"/>
    </row>
    <row r="72" ht="39" customHeight="true" spans="1:15">
      <c r="A72" s="173" t="s">
        <v>141</v>
      </c>
      <c r="B72" s="169">
        <f t="shared" ref="B72:B75" si="24">C72+D72</f>
        <v>4000</v>
      </c>
      <c r="C72" s="171"/>
      <c r="D72" s="171">
        <v>4000</v>
      </c>
      <c r="E72" s="169">
        <f t="shared" ref="E72:E86" si="25">F72+G72</f>
        <v>5207</v>
      </c>
      <c r="F72" s="171">
        <v>1200</v>
      </c>
      <c r="G72" s="171">
        <v>4007</v>
      </c>
      <c r="H72" s="180">
        <f t="shared" si="14"/>
        <v>1207</v>
      </c>
      <c r="I72" s="180">
        <f t="shared" si="15"/>
        <v>1200</v>
      </c>
      <c r="J72" s="187">
        <f t="shared" si="16"/>
        <v>7</v>
      </c>
      <c r="K72" s="188">
        <f>H72/B72*100</f>
        <v>30.175</v>
      </c>
      <c r="L72" s="188" t="s">
        <v>81</v>
      </c>
      <c r="M72" s="188">
        <f>J72/D72*100</f>
        <v>0.175</v>
      </c>
      <c r="N72" s="195"/>
      <c r="O72" s="196"/>
    </row>
    <row r="73" ht="33" customHeight="true" spans="1:15">
      <c r="A73" s="173" t="s">
        <v>142</v>
      </c>
      <c r="B73" s="169">
        <f t="shared" si="24"/>
        <v>1880</v>
      </c>
      <c r="C73" s="171">
        <v>1505</v>
      </c>
      <c r="D73" s="171">
        <v>375</v>
      </c>
      <c r="E73" s="169">
        <f t="shared" si="25"/>
        <v>1879</v>
      </c>
      <c r="F73" s="171">
        <v>1505</v>
      </c>
      <c r="G73" s="171">
        <v>374</v>
      </c>
      <c r="H73" s="180">
        <f t="shared" si="14"/>
        <v>-1</v>
      </c>
      <c r="I73" s="180">
        <f t="shared" si="15"/>
        <v>0</v>
      </c>
      <c r="J73" s="187">
        <f t="shared" si="16"/>
        <v>-1</v>
      </c>
      <c r="K73" s="188">
        <f t="shared" si="18"/>
        <v>-0.0531914893617021</v>
      </c>
      <c r="L73" s="188" t="s">
        <v>81</v>
      </c>
      <c r="M73" s="188">
        <f>J73/D73*100</f>
        <v>-0.266666666666667</v>
      </c>
      <c r="N73" s="195"/>
      <c r="O73" s="196"/>
    </row>
    <row r="74" ht="33" hidden="true" customHeight="true" spans="1:15">
      <c r="A74" s="173" t="s">
        <v>143</v>
      </c>
      <c r="B74" s="169">
        <f t="shared" si="24"/>
        <v>0</v>
      </c>
      <c r="C74" s="171"/>
      <c r="D74" s="171"/>
      <c r="E74" s="169">
        <v>0</v>
      </c>
      <c r="F74" s="171"/>
      <c r="G74" s="171"/>
      <c r="H74" s="180">
        <f t="shared" si="14"/>
        <v>0</v>
      </c>
      <c r="I74" s="180">
        <f t="shared" si="15"/>
        <v>0</v>
      </c>
      <c r="J74" s="187">
        <f t="shared" si="16"/>
        <v>0</v>
      </c>
      <c r="K74" s="188" t="e">
        <f t="shared" si="18"/>
        <v>#DIV/0!</v>
      </c>
      <c r="L74" s="188" t="s">
        <v>81</v>
      </c>
      <c r="M74" s="188" t="e">
        <f>J74/D74*100</f>
        <v>#DIV/0!</v>
      </c>
      <c r="N74" s="195"/>
      <c r="O74" s="196"/>
    </row>
    <row r="75" ht="33" customHeight="true" spans="1:15">
      <c r="A75" s="201" t="s">
        <v>144</v>
      </c>
      <c r="B75" s="169">
        <f t="shared" si="24"/>
        <v>3000</v>
      </c>
      <c r="C75" s="171"/>
      <c r="D75" s="202">
        <v>3000</v>
      </c>
      <c r="E75" s="169">
        <f t="shared" si="25"/>
        <v>3000</v>
      </c>
      <c r="F75" s="202"/>
      <c r="G75" s="202">
        <v>3000</v>
      </c>
      <c r="H75" s="180">
        <f t="shared" si="14"/>
        <v>0</v>
      </c>
      <c r="I75" s="180">
        <f t="shared" si="15"/>
        <v>0</v>
      </c>
      <c r="J75" s="187">
        <f t="shared" si="16"/>
        <v>0</v>
      </c>
      <c r="K75" s="188">
        <f t="shared" si="18"/>
        <v>0</v>
      </c>
      <c r="L75" s="188" t="s">
        <v>81</v>
      </c>
      <c r="M75" s="188">
        <f>J75/D75*100</f>
        <v>0</v>
      </c>
      <c r="N75" s="195"/>
      <c r="O75" s="196"/>
    </row>
    <row r="76" ht="38.1" customHeight="true" spans="1:15">
      <c r="A76" s="201" t="s">
        <v>145</v>
      </c>
      <c r="B76" s="169">
        <v>0</v>
      </c>
      <c r="C76" s="171">
        <v>70</v>
      </c>
      <c r="D76" s="202">
        <v>200</v>
      </c>
      <c r="E76" s="169">
        <f t="shared" si="25"/>
        <v>200</v>
      </c>
      <c r="F76" s="202"/>
      <c r="G76" s="202">
        <v>200</v>
      </c>
      <c r="H76" s="180">
        <f t="shared" si="14"/>
        <v>200</v>
      </c>
      <c r="I76" s="180">
        <f t="shared" si="15"/>
        <v>-70</v>
      </c>
      <c r="J76" s="187">
        <f t="shared" si="16"/>
        <v>0</v>
      </c>
      <c r="K76" s="188" t="s">
        <v>81</v>
      </c>
      <c r="L76" s="188" t="s">
        <v>81</v>
      </c>
      <c r="M76" s="189" t="s">
        <v>81</v>
      </c>
      <c r="N76" s="195"/>
      <c r="O76" s="196"/>
    </row>
    <row r="77" s="156" customFormat="true" ht="33" customHeight="true" spans="1:15">
      <c r="A77" s="201" t="s">
        <v>146</v>
      </c>
      <c r="B77" s="169">
        <v>0</v>
      </c>
      <c r="C77" s="171"/>
      <c r="D77" s="202"/>
      <c r="E77" s="169">
        <f t="shared" si="25"/>
        <v>249</v>
      </c>
      <c r="F77" s="202">
        <v>249</v>
      </c>
      <c r="G77" s="202"/>
      <c r="H77" s="180">
        <f t="shared" si="14"/>
        <v>249</v>
      </c>
      <c r="I77" s="180">
        <f t="shared" si="15"/>
        <v>249</v>
      </c>
      <c r="J77" s="187">
        <f t="shared" si="16"/>
        <v>0</v>
      </c>
      <c r="K77" s="188" t="s">
        <v>81</v>
      </c>
      <c r="L77" s="188" t="s">
        <v>81</v>
      </c>
      <c r="M77" s="189" t="s">
        <v>81</v>
      </c>
      <c r="N77" s="203"/>
      <c r="O77" s="204"/>
    </row>
    <row r="78" ht="28.5" customHeight="true" spans="1:15">
      <c r="A78" s="201" t="s">
        <v>147</v>
      </c>
      <c r="B78" s="169">
        <v>0</v>
      </c>
      <c r="C78" s="171">
        <v>1262</v>
      </c>
      <c r="D78" s="202"/>
      <c r="E78" s="169">
        <f t="shared" si="25"/>
        <v>1231.976088628</v>
      </c>
      <c r="F78" s="171">
        <f>F5*0.002</f>
        <v>1231.976088628</v>
      </c>
      <c r="G78" s="202"/>
      <c r="H78" s="180">
        <f t="shared" si="14"/>
        <v>1231.976088628</v>
      </c>
      <c r="I78" s="180">
        <f t="shared" si="15"/>
        <v>-30.0239113719999</v>
      </c>
      <c r="J78" s="187">
        <f t="shared" si="16"/>
        <v>0</v>
      </c>
      <c r="K78" s="188" t="s">
        <v>81</v>
      </c>
      <c r="L78" s="188" t="s">
        <v>81</v>
      </c>
      <c r="M78" s="189" t="s">
        <v>81</v>
      </c>
      <c r="N78" s="195"/>
      <c r="O78" s="196"/>
    </row>
    <row r="79" ht="28.5" customHeight="true" spans="1:15">
      <c r="A79" s="201" t="s">
        <v>148</v>
      </c>
      <c r="B79" s="169">
        <v>0</v>
      </c>
      <c r="C79" s="171"/>
      <c r="D79" s="202"/>
      <c r="E79" s="169">
        <f t="shared" si="25"/>
        <v>200</v>
      </c>
      <c r="F79" s="202">
        <v>200</v>
      </c>
      <c r="G79" s="202"/>
      <c r="H79" s="180">
        <f t="shared" si="14"/>
        <v>200</v>
      </c>
      <c r="I79" s="180">
        <f t="shared" si="15"/>
        <v>200</v>
      </c>
      <c r="J79" s="187">
        <f t="shared" si="16"/>
        <v>0</v>
      </c>
      <c r="K79" s="188" t="s">
        <v>81</v>
      </c>
      <c r="L79" s="188" t="s">
        <v>81</v>
      </c>
      <c r="M79" s="189" t="s">
        <v>81</v>
      </c>
      <c r="N79" s="195"/>
      <c r="O79" s="196"/>
    </row>
    <row r="80" ht="28.5" customHeight="true" spans="1:15">
      <c r="A80" s="201" t="s">
        <v>149</v>
      </c>
      <c r="B80" s="169">
        <f t="shared" ref="B80:B84" si="26">C80+D80</f>
        <v>29370</v>
      </c>
      <c r="C80" s="171">
        <v>29370</v>
      </c>
      <c r="D80" s="202"/>
      <c r="E80" s="169">
        <f t="shared" si="25"/>
        <v>29352</v>
      </c>
      <c r="F80" s="202">
        <v>29352</v>
      </c>
      <c r="G80" s="202"/>
      <c r="H80" s="180">
        <f t="shared" si="14"/>
        <v>-18</v>
      </c>
      <c r="I80" s="180">
        <f t="shared" si="15"/>
        <v>-18</v>
      </c>
      <c r="J80" s="187">
        <f t="shared" si="16"/>
        <v>0</v>
      </c>
      <c r="K80" s="188">
        <f>H80/B80*100</f>
        <v>-0.0612870275791624</v>
      </c>
      <c r="L80" s="188">
        <f>I80/C80*100</f>
        <v>-0.0612870275791624</v>
      </c>
      <c r="M80" s="189" t="s">
        <v>81</v>
      </c>
      <c r="N80" s="195"/>
      <c r="O80" s="196"/>
    </row>
    <row r="81" ht="28.5" customHeight="true" spans="1:15">
      <c r="A81" s="201" t="s">
        <v>150</v>
      </c>
      <c r="B81" s="169">
        <f t="shared" si="26"/>
        <v>1800</v>
      </c>
      <c r="C81" s="171">
        <v>1800</v>
      </c>
      <c r="D81" s="202"/>
      <c r="E81" s="169">
        <f t="shared" si="25"/>
        <v>600</v>
      </c>
      <c r="F81" s="202">
        <v>600</v>
      </c>
      <c r="G81" s="202"/>
      <c r="H81" s="180">
        <f t="shared" si="14"/>
        <v>-1200</v>
      </c>
      <c r="I81" s="180">
        <f t="shared" si="15"/>
        <v>-1200</v>
      </c>
      <c r="J81" s="187">
        <f t="shared" si="16"/>
        <v>0</v>
      </c>
      <c r="K81" s="188">
        <f>H81/B81*100</f>
        <v>-66.6666666666667</v>
      </c>
      <c r="L81" s="188">
        <f>I81/C81*100</f>
        <v>-66.6666666666667</v>
      </c>
      <c r="M81" s="189" t="s">
        <v>81</v>
      </c>
      <c r="N81" s="195"/>
      <c r="O81" s="196"/>
    </row>
    <row r="82" ht="28.5" spans="1:15">
      <c r="A82" s="173" t="s">
        <v>151</v>
      </c>
      <c r="B82" s="169">
        <f t="shared" si="26"/>
        <v>100</v>
      </c>
      <c r="C82" s="171">
        <v>100</v>
      </c>
      <c r="D82" s="171">
        <v>0</v>
      </c>
      <c r="E82" s="169">
        <f t="shared" si="25"/>
        <v>786.63</v>
      </c>
      <c r="F82" s="169">
        <f>2622.1*0.3</f>
        <v>786.63</v>
      </c>
      <c r="G82" s="171"/>
      <c r="H82" s="180">
        <f t="shared" si="14"/>
        <v>686.63</v>
      </c>
      <c r="I82" s="180">
        <f t="shared" si="15"/>
        <v>686.63</v>
      </c>
      <c r="J82" s="187">
        <f t="shared" si="16"/>
        <v>0</v>
      </c>
      <c r="K82" s="188"/>
      <c r="L82" s="188"/>
      <c r="M82" s="189" t="s">
        <v>81</v>
      </c>
      <c r="N82" s="195"/>
      <c r="O82" s="196"/>
    </row>
    <row r="83" ht="28.5" spans="1:15">
      <c r="A83" s="173" t="s">
        <v>152</v>
      </c>
      <c r="B83" s="169">
        <f t="shared" si="26"/>
        <v>0</v>
      </c>
      <c r="C83" s="171"/>
      <c r="D83" s="171"/>
      <c r="E83" s="169">
        <f t="shared" si="25"/>
        <v>37000</v>
      </c>
      <c r="F83" s="171">
        <v>37000</v>
      </c>
      <c r="G83" s="171"/>
      <c r="H83" s="180">
        <f t="shared" si="14"/>
        <v>37000</v>
      </c>
      <c r="I83" s="180">
        <f t="shared" si="15"/>
        <v>37000</v>
      </c>
      <c r="J83" s="187">
        <f t="shared" si="16"/>
        <v>0</v>
      </c>
      <c r="K83" s="188" t="s">
        <v>81</v>
      </c>
      <c r="L83" s="188" t="s">
        <v>81</v>
      </c>
      <c r="M83" s="189" t="s">
        <v>81</v>
      </c>
      <c r="N83" s="195"/>
      <c r="O83" s="196"/>
    </row>
    <row r="84" ht="28.5" spans="1:15">
      <c r="A84" s="173" t="s">
        <v>153</v>
      </c>
      <c r="B84" s="169">
        <f t="shared" si="26"/>
        <v>0</v>
      </c>
      <c r="C84" s="171"/>
      <c r="D84" s="171"/>
      <c r="E84" s="169">
        <f t="shared" si="25"/>
        <v>45096</v>
      </c>
      <c r="F84" s="171">
        <v>45096</v>
      </c>
      <c r="G84" s="171"/>
      <c r="H84" s="180">
        <f t="shared" si="14"/>
        <v>45096</v>
      </c>
      <c r="I84" s="180">
        <f t="shared" si="15"/>
        <v>45096</v>
      </c>
      <c r="J84" s="187">
        <f t="shared" si="16"/>
        <v>0</v>
      </c>
      <c r="K84" s="188" t="s">
        <v>81</v>
      </c>
      <c r="L84" s="188" t="s">
        <v>81</v>
      </c>
      <c r="M84" s="189" t="s">
        <v>81</v>
      </c>
      <c r="N84" s="195"/>
      <c r="O84" s="196"/>
    </row>
    <row r="85" ht="18" spans="1:15">
      <c r="A85" s="173" t="s">
        <v>154</v>
      </c>
      <c r="B85" s="169"/>
      <c r="C85" s="171"/>
      <c r="D85" s="171"/>
      <c r="E85" s="169">
        <f t="shared" si="25"/>
        <v>10630</v>
      </c>
      <c r="F85" s="171"/>
      <c r="G85" s="171">
        <v>10630</v>
      </c>
      <c r="H85" s="180">
        <f t="shared" si="14"/>
        <v>10630</v>
      </c>
      <c r="I85" s="180">
        <f t="shared" si="15"/>
        <v>0</v>
      </c>
      <c r="J85" s="187">
        <f t="shared" si="16"/>
        <v>10630</v>
      </c>
      <c r="K85" s="188"/>
      <c r="L85" s="188"/>
      <c r="M85" s="189"/>
      <c r="N85" s="195"/>
      <c r="O85" s="196"/>
    </row>
    <row r="86" ht="18" spans="1:15">
      <c r="A86" s="173" t="s">
        <v>155</v>
      </c>
      <c r="B86" s="169"/>
      <c r="C86" s="171"/>
      <c r="D86" s="171"/>
      <c r="E86" s="169">
        <f t="shared" si="25"/>
        <v>31276</v>
      </c>
      <c r="F86" s="171">
        <f>20722-74</f>
        <v>20648</v>
      </c>
      <c r="G86" s="171">
        <v>10628</v>
      </c>
      <c r="H86" s="180">
        <f t="shared" si="14"/>
        <v>31276</v>
      </c>
      <c r="I86" s="180">
        <f t="shared" si="15"/>
        <v>20648</v>
      </c>
      <c r="J86" s="187">
        <f t="shared" si="16"/>
        <v>10628</v>
      </c>
      <c r="K86" s="188"/>
      <c r="L86" s="188"/>
      <c r="M86" s="189"/>
      <c r="N86" s="195"/>
      <c r="O86" s="196"/>
    </row>
    <row r="87" ht="27" customHeight="true" spans="1:15">
      <c r="A87" s="173" t="s">
        <v>156</v>
      </c>
      <c r="B87" s="171">
        <f t="shared" ref="B87:F87" si="27">B5+B6-B56+B82+B84+B83-B80-B81-B86</f>
        <v>1016720</v>
      </c>
      <c r="C87" s="171">
        <f t="shared" si="27"/>
        <v>736720</v>
      </c>
      <c r="D87" s="171">
        <f t="shared" si="27"/>
        <v>280000</v>
      </c>
      <c r="E87" s="171">
        <f>E5+E6-E56+E82+E84+E83-E80-E81-E86+E85</f>
        <v>1012712.09837537</v>
      </c>
      <c r="F87" s="171">
        <f>F5+F6-F56+F82+F84+F83-F80-F81-F86+F85</f>
        <v>739324.688375372</v>
      </c>
      <c r="G87" s="171">
        <f>G5+G6-G56+G82+G84+G83-G80-G81-G86+G85</f>
        <v>273387.41</v>
      </c>
      <c r="H87" s="180">
        <f t="shared" si="14"/>
        <v>-4007.90162462788</v>
      </c>
      <c r="I87" s="180">
        <f t="shared" si="15"/>
        <v>2604.68837537209</v>
      </c>
      <c r="J87" s="187">
        <f t="shared" si="16"/>
        <v>-6612.59000000003</v>
      </c>
      <c r="K87" s="188">
        <f>H87/B87*100</f>
        <v>-0.394199152630801</v>
      </c>
      <c r="L87" s="188">
        <f>I87/C87*100</f>
        <v>0.353552010990891</v>
      </c>
      <c r="M87" s="189">
        <f>J87/D87*100</f>
        <v>-2.3616392857143</v>
      </c>
      <c r="N87" s="195"/>
      <c r="O87" s="196"/>
    </row>
  </sheetData>
  <mergeCells count="10">
    <mergeCell ref="A1:N1"/>
    <mergeCell ref="A2:B2"/>
    <mergeCell ref="E2:I2"/>
    <mergeCell ref="M2:N2"/>
    <mergeCell ref="B3:D3"/>
    <mergeCell ref="E3:G3"/>
    <mergeCell ref="H3:J3"/>
    <mergeCell ref="K3:M3"/>
    <mergeCell ref="A3:A4"/>
    <mergeCell ref="N3:N4"/>
  </mergeCells>
  <pageMargins left="0.708333333333333" right="0.708333333333333" top="0.747916666666667" bottom="0.747916666666667" header="0.314583333333333" footer="0.314583333333333"/>
  <pageSetup paperSize="9" scale="74" firstPageNumber="10" fitToHeight="0" orientation="landscape" useFirstPageNumber="true" horizontalDpi="600"/>
  <headerFooter>
    <oddFooter>&amp;C&amp;P</oddFooter>
  </headerFooter>
  <rowBreaks count="1" manualBreakCount="1">
    <brk id="8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82"/>
  <sheetViews>
    <sheetView showZeros="0" workbookViewId="0">
      <selection activeCell="J2" sqref="J2:L26"/>
    </sheetView>
  </sheetViews>
  <sheetFormatPr defaultColWidth="9" defaultRowHeight="15"/>
  <cols>
    <col min="1" max="1" width="5.625" style="73" customWidth="true"/>
    <col min="2" max="2" width="64.75" style="74" customWidth="true"/>
    <col min="3" max="3" width="13.875" style="139" customWidth="true"/>
    <col min="4" max="5" width="13.5" style="139" customWidth="true"/>
    <col min="6" max="6" width="15.5" style="139" customWidth="true"/>
    <col min="7" max="7" width="14.875" style="139" customWidth="true"/>
    <col min="8" max="8" width="16" style="139" customWidth="true"/>
    <col min="9" max="9" width="18.625" style="76" customWidth="true"/>
    <col min="10" max="10" width="12.875" style="76"/>
    <col min="11" max="11" width="10.5" style="76" customWidth="true"/>
    <col min="12" max="12" width="11.625" style="76"/>
    <col min="13" max="16384" width="9" style="76"/>
  </cols>
  <sheetData>
    <row r="1" ht="27" spans="1:9">
      <c r="A1" s="77" t="s">
        <v>157</v>
      </c>
      <c r="B1" s="77"/>
      <c r="C1" s="140"/>
      <c r="D1" s="140"/>
      <c r="E1" s="140"/>
      <c r="F1" s="140"/>
      <c r="G1" s="140"/>
      <c r="H1" s="140"/>
      <c r="I1" s="77"/>
    </row>
    <row r="2" ht="15.75" spans="1:9">
      <c r="A2" s="141" t="s">
        <v>1</v>
      </c>
      <c r="B2" s="141"/>
      <c r="C2" s="142" t="str">
        <f>附表1收入调整表2024!E2</f>
        <v>编制日期：2024年12月</v>
      </c>
      <c r="D2" s="142"/>
      <c r="E2" s="142"/>
      <c r="F2" s="142"/>
      <c r="G2" s="142"/>
      <c r="I2" s="96" t="s">
        <v>3</v>
      </c>
    </row>
    <row r="3" s="66" customFormat="true" ht="24.95" customHeight="true" spans="1:9">
      <c r="A3" s="81" t="s">
        <v>158</v>
      </c>
      <c r="B3" s="82" t="s">
        <v>159</v>
      </c>
      <c r="C3" s="83" t="s">
        <v>160</v>
      </c>
      <c r="D3" s="84" t="s">
        <v>161</v>
      </c>
      <c r="E3" s="94"/>
      <c r="F3" s="95"/>
      <c r="G3" s="83" t="s">
        <v>162</v>
      </c>
      <c r="H3" s="83" t="s">
        <v>163</v>
      </c>
      <c r="I3" s="97" t="s">
        <v>164</v>
      </c>
    </row>
    <row r="4" s="66" customFormat="true" ht="18" customHeight="true" spans="1:9">
      <c r="A4" s="81"/>
      <c r="B4" s="82"/>
      <c r="C4" s="85"/>
      <c r="D4" s="83" t="s">
        <v>9</v>
      </c>
      <c r="E4" s="83" t="s">
        <v>165</v>
      </c>
      <c r="F4" s="83" t="s">
        <v>166</v>
      </c>
      <c r="G4" s="85"/>
      <c r="H4" s="85"/>
      <c r="I4" s="99"/>
    </row>
    <row r="5" s="66" customFormat="true" ht="18" customHeight="true" spans="1:9">
      <c r="A5" s="81"/>
      <c r="B5" s="82"/>
      <c r="C5" s="86"/>
      <c r="D5" s="86"/>
      <c r="E5" s="86"/>
      <c r="F5" s="86"/>
      <c r="G5" s="86"/>
      <c r="H5" s="86"/>
      <c r="I5" s="100"/>
    </row>
    <row r="6" s="67" customFormat="true" ht="15.75" spans="1:9">
      <c r="A6" s="87"/>
      <c r="B6" s="82" t="s">
        <v>167</v>
      </c>
      <c r="C6" s="143">
        <f t="shared" ref="C6:H6" si="0">C7+C159</f>
        <v>314535.253411</v>
      </c>
      <c r="D6" s="143">
        <f t="shared" si="0"/>
        <v>309808.11386685</v>
      </c>
      <c r="E6" s="143">
        <f t="shared" si="0"/>
        <v>216213.98495</v>
      </c>
      <c r="F6" s="143">
        <f t="shared" si="0"/>
        <v>93594.12891685</v>
      </c>
      <c r="G6" s="143">
        <f t="shared" si="0"/>
        <v>4727.13954415001</v>
      </c>
      <c r="H6" s="143">
        <f t="shared" si="0"/>
        <v>-4727.13954415001</v>
      </c>
      <c r="I6" s="101"/>
    </row>
    <row r="7" s="68" customFormat="true" ht="15.75" spans="1:9">
      <c r="A7" s="87" t="s">
        <v>168</v>
      </c>
      <c r="B7" s="89" t="s">
        <v>169</v>
      </c>
      <c r="C7" s="143">
        <f>C8+C110</f>
        <v>295673.253411</v>
      </c>
      <c r="D7" s="143">
        <f>D8+D110</f>
        <v>79232.45756585</v>
      </c>
      <c r="E7" s="143">
        <f t="shared" ref="E7:H7" si="1">E8+E110</f>
        <v>49242.700493</v>
      </c>
      <c r="F7" s="143">
        <f t="shared" si="1"/>
        <v>29989.75707285</v>
      </c>
      <c r="G7" s="143">
        <f t="shared" si="1"/>
        <v>216440.79584515</v>
      </c>
      <c r="H7" s="143">
        <f t="shared" si="1"/>
        <v>-216440.79584515</v>
      </c>
      <c r="I7" s="103"/>
    </row>
    <row r="8" s="69" customFormat="true" ht="15.75" spans="1:10">
      <c r="A8" s="87"/>
      <c r="B8" s="90" t="s">
        <v>170</v>
      </c>
      <c r="C8" s="143">
        <f t="shared" ref="C8:H8" si="2">SUM(C9:C109)</f>
        <v>156288.253411</v>
      </c>
      <c r="D8" s="143">
        <f t="shared" si="2"/>
        <v>34344.45756585</v>
      </c>
      <c r="E8" s="143">
        <f t="shared" si="2"/>
        <v>15480.700493</v>
      </c>
      <c r="F8" s="143">
        <f t="shared" si="2"/>
        <v>18863.75707285</v>
      </c>
      <c r="G8" s="143">
        <f t="shared" si="2"/>
        <v>121943.79584515</v>
      </c>
      <c r="H8" s="143">
        <f t="shared" si="2"/>
        <v>-121943.79584515</v>
      </c>
      <c r="I8" s="103"/>
      <c r="J8" s="68"/>
    </row>
    <row r="9" ht="15.75" spans="1:9">
      <c r="A9" s="91">
        <v>1</v>
      </c>
      <c r="B9" s="144" t="s">
        <v>171</v>
      </c>
      <c r="C9" s="145">
        <v>286</v>
      </c>
      <c r="D9" s="145">
        <f>E9+F9</f>
        <v>65.7957</v>
      </c>
      <c r="E9" s="145">
        <v>29.7957</v>
      </c>
      <c r="F9" s="145">
        <v>36</v>
      </c>
      <c r="G9" s="145">
        <f>C9-D9</f>
        <v>220.2043</v>
      </c>
      <c r="H9" s="146">
        <f>-G9</f>
        <v>-220.2043</v>
      </c>
      <c r="I9" s="106"/>
    </row>
    <row r="10" ht="15.75" spans="1:9">
      <c r="A10" s="91">
        <v>2</v>
      </c>
      <c r="B10" s="144" t="s">
        <v>172</v>
      </c>
      <c r="C10" s="145">
        <v>100</v>
      </c>
      <c r="D10" s="145">
        <f t="shared" ref="D10:D41" si="3">E10+F10</f>
        <v>0</v>
      </c>
      <c r="E10" s="145">
        <v>0</v>
      </c>
      <c r="F10" s="145">
        <v>0</v>
      </c>
      <c r="G10" s="145">
        <f t="shared" ref="G10:G41" si="4">C10-D10</f>
        <v>100</v>
      </c>
      <c r="H10" s="146">
        <f t="shared" ref="H10:H41" si="5">-G10</f>
        <v>-100</v>
      </c>
      <c r="I10" s="106"/>
    </row>
    <row r="11" ht="15.75" spans="1:9">
      <c r="A11" s="91">
        <v>3</v>
      </c>
      <c r="B11" s="144" t="s">
        <v>173</v>
      </c>
      <c r="C11" s="145">
        <v>978.12</v>
      </c>
      <c r="D11" s="145">
        <f t="shared" si="3"/>
        <v>662.9496</v>
      </c>
      <c r="E11" s="145">
        <v>662.9496</v>
      </c>
      <c r="F11" s="145">
        <v>0</v>
      </c>
      <c r="G11" s="145">
        <f t="shared" si="4"/>
        <v>315.1704</v>
      </c>
      <c r="H11" s="146">
        <f t="shared" si="5"/>
        <v>-315.1704</v>
      </c>
      <c r="I11" s="106"/>
    </row>
    <row r="12" ht="15.75" spans="1:9">
      <c r="A12" s="91">
        <v>4</v>
      </c>
      <c r="B12" s="144" t="s">
        <v>174</v>
      </c>
      <c r="C12" s="145">
        <v>240</v>
      </c>
      <c r="D12" s="145">
        <f t="shared" si="3"/>
        <v>20.954449</v>
      </c>
      <c r="E12" s="145">
        <v>18.954449</v>
      </c>
      <c r="F12" s="145">
        <v>2</v>
      </c>
      <c r="G12" s="145">
        <f t="shared" si="4"/>
        <v>219.045551</v>
      </c>
      <c r="H12" s="146">
        <f t="shared" si="5"/>
        <v>-219.045551</v>
      </c>
      <c r="I12" s="106"/>
    </row>
    <row r="13" ht="15.75" spans="1:9">
      <c r="A13" s="91">
        <v>5</v>
      </c>
      <c r="B13" s="144" t="s">
        <v>175</v>
      </c>
      <c r="C13" s="145">
        <v>852.43</v>
      </c>
      <c r="D13" s="145">
        <f t="shared" si="3"/>
        <v>598.2891</v>
      </c>
      <c r="E13" s="145">
        <v>597.7891</v>
      </c>
      <c r="F13" s="145">
        <v>0.5</v>
      </c>
      <c r="G13" s="145">
        <f t="shared" si="4"/>
        <v>254.1409</v>
      </c>
      <c r="H13" s="146">
        <f t="shared" si="5"/>
        <v>-254.1409</v>
      </c>
      <c r="I13" s="106"/>
    </row>
    <row r="14" ht="15.75" spans="1:9">
      <c r="A14" s="91">
        <v>6</v>
      </c>
      <c r="B14" s="144" t="s">
        <v>176</v>
      </c>
      <c r="C14" s="145">
        <v>200</v>
      </c>
      <c r="D14" s="145">
        <f t="shared" si="3"/>
        <v>179.9283</v>
      </c>
      <c r="E14" s="145">
        <v>87.2283</v>
      </c>
      <c r="F14" s="145">
        <v>92.7</v>
      </c>
      <c r="G14" s="145">
        <f t="shared" si="4"/>
        <v>20.0717</v>
      </c>
      <c r="H14" s="146">
        <f t="shared" si="5"/>
        <v>-20.0717</v>
      </c>
      <c r="I14" s="106"/>
    </row>
    <row r="15" ht="15.75" spans="1:9">
      <c r="A15" s="91">
        <v>7</v>
      </c>
      <c r="B15" s="144" t="s">
        <v>177</v>
      </c>
      <c r="C15" s="145">
        <v>1000</v>
      </c>
      <c r="D15" s="145">
        <f t="shared" si="3"/>
        <v>795.976651</v>
      </c>
      <c r="E15" s="145">
        <v>495.976651</v>
      </c>
      <c r="F15" s="145">
        <v>300</v>
      </c>
      <c r="G15" s="145">
        <f t="shared" si="4"/>
        <v>204.023349</v>
      </c>
      <c r="H15" s="146">
        <f t="shared" si="5"/>
        <v>-204.023349</v>
      </c>
      <c r="I15" s="106"/>
    </row>
    <row r="16" ht="15.75" spans="1:9">
      <c r="A16" s="91">
        <v>8</v>
      </c>
      <c r="B16" s="144" t="s">
        <v>178</v>
      </c>
      <c r="C16" s="145">
        <v>5000</v>
      </c>
      <c r="D16" s="145">
        <f t="shared" si="3"/>
        <v>2016.308</v>
      </c>
      <c r="E16" s="145">
        <v>516.308</v>
      </c>
      <c r="F16" s="145">
        <v>1500</v>
      </c>
      <c r="G16" s="145">
        <f t="shared" si="4"/>
        <v>2983.692</v>
      </c>
      <c r="H16" s="146">
        <f t="shared" si="5"/>
        <v>-2983.692</v>
      </c>
      <c r="I16" s="106"/>
    </row>
    <row r="17" ht="15.75" spans="1:9">
      <c r="A17" s="91">
        <v>9</v>
      </c>
      <c r="B17" s="144" t="s">
        <v>179</v>
      </c>
      <c r="C17" s="145">
        <v>1002.03</v>
      </c>
      <c r="D17" s="145">
        <f t="shared" si="3"/>
        <v>736.035734</v>
      </c>
      <c r="E17" s="145">
        <v>367.999867</v>
      </c>
      <c r="F17" s="145">
        <v>368.035867</v>
      </c>
      <c r="G17" s="145">
        <f t="shared" si="4"/>
        <v>265.994266</v>
      </c>
      <c r="H17" s="146">
        <f t="shared" si="5"/>
        <v>-265.994266</v>
      </c>
      <c r="I17" s="106"/>
    </row>
    <row r="18" ht="15.75" spans="1:9">
      <c r="A18" s="91">
        <v>10</v>
      </c>
      <c r="B18" s="144" t="s">
        <v>180</v>
      </c>
      <c r="C18" s="145">
        <v>3920</v>
      </c>
      <c r="D18" s="145">
        <f t="shared" si="3"/>
        <v>502.8157</v>
      </c>
      <c r="E18" s="145">
        <v>251.3759</v>
      </c>
      <c r="F18" s="145">
        <v>251.4398</v>
      </c>
      <c r="G18" s="145">
        <f t="shared" si="4"/>
        <v>3417.1843</v>
      </c>
      <c r="H18" s="146">
        <f t="shared" si="5"/>
        <v>-3417.1843</v>
      </c>
      <c r="I18" s="106"/>
    </row>
    <row r="19" ht="15.75" spans="1:9">
      <c r="A19" s="91">
        <v>11</v>
      </c>
      <c r="B19" s="144" t="s">
        <v>181</v>
      </c>
      <c r="C19" s="145">
        <v>155</v>
      </c>
      <c r="D19" s="145">
        <f t="shared" si="3"/>
        <v>22.0842</v>
      </c>
      <c r="E19" s="145">
        <v>0.1921</v>
      </c>
      <c r="F19" s="145">
        <v>21.8921</v>
      </c>
      <c r="G19" s="145">
        <f t="shared" si="4"/>
        <v>132.9158</v>
      </c>
      <c r="H19" s="146">
        <f t="shared" si="5"/>
        <v>-132.9158</v>
      </c>
      <c r="I19" s="106"/>
    </row>
    <row r="20" ht="15.75" spans="1:9">
      <c r="A20" s="91">
        <v>12</v>
      </c>
      <c r="B20" s="144" t="s">
        <v>182</v>
      </c>
      <c r="C20" s="145">
        <v>300</v>
      </c>
      <c r="D20" s="145">
        <f t="shared" si="3"/>
        <v>200</v>
      </c>
      <c r="E20" s="145">
        <v>81.95</v>
      </c>
      <c r="F20" s="145">
        <v>118.05</v>
      </c>
      <c r="G20" s="145">
        <f t="shared" si="4"/>
        <v>100</v>
      </c>
      <c r="H20" s="146">
        <f t="shared" si="5"/>
        <v>-100</v>
      </c>
      <c r="I20" s="106"/>
    </row>
    <row r="21" ht="15.75" spans="1:9">
      <c r="A21" s="91">
        <v>13</v>
      </c>
      <c r="B21" s="144" t="s">
        <v>183</v>
      </c>
      <c r="C21" s="145">
        <v>193</v>
      </c>
      <c r="D21" s="145">
        <f t="shared" si="3"/>
        <v>118.81485</v>
      </c>
      <c r="E21" s="145">
        <v>0</v>
      </c>
      <c r="F21" s="145">
        <v>118.81485</v>
      </c>
      <c r="G21" s="145">
        <f t="shared" si="4"/>
        <v>74.18515</v>
      </c>
      <c r="H21" s="146">
        <f t="shared" si="5"/>
        <v>-74.18515</v>
      </c>
      <c r="I21" s="106"/>
    </row>
    <row r="22" ht="15.75" spans="1:9">
      <c r="A22" s="91">
        <v>14</v>
      </c>
      <c r="B22" s="144" t="s">
        <v>184</v>
      </c>
      <c r="C22" s="145">
        <v>170</v>
      </c>
      <c r="D22" s="145">
        <f t="shared" si="3"/>
        <v>80.252525</v>
      </c>
      <c r="E22" s="145">
        <v>15.252525</v>
      </c>
      <c r="F22" s="145">
        <v>65</v>
      </c>
      <c r="G22" s="145">
        <f t="shared" si="4"/>
        <v>89.747475</v>
      </c>
      <c r="H22" s="146">
        <f t="shared" si="5"/>
        <v>-89.747475</v>
      </c>
      <c r="I22" s="106"/>
    </row>
    <row r="23" ht="15.75" spans="1:9">
      <c r="A23" s="91">
        <v>15</v>
      </c>
      <c r="B23" s="144" t="s">
        <v>185</v>
      </c>
      <c r="C23" s="145">
        <v>190</v>
      </c>
      <c r="D23" s="145">
        <f t="shared" si="3"/>
        <v>109.10258</v>
      </c>
      <c r="E23" s="145">
        <v>9.10258</v>
      </c>
      <c r="F23" s="145">
        <v>100</v>
      </c>
      <c r="G23" s="145">
        <f t="shared" si="4"/>
        <v>80.89742</v>
      </c>
      <c r="H23" s="146">
        <f t="shared" si="5"/>
        <v>-80.89742</v>
      </c>
      <c r="I23" s="106"/>
    </row>
    <row r="24" ht="15.75" spans="1:9">
      <c r="A24" s="91">
        <v>16</v>
      </c>
      <c r="B24" s="144" t="s">
        <v>186</v>
      </c>
      <c r="C24" s="145">
        <v>397.4009</v>
      </c>
      <c r="D24" s="145">
        <f t="shared" si="3"/>
        <v>289.60058</v>
      </c>
      <c r="E24" s="145">
        <v>74</v>
      </c>
      <c r="F24" s="145">
        <v>215.60058</v>
      </c>
      <c r="G24" s="145">
        <f t="shared" si="4"/>
        <v>107.80032</v>
      </c>
      <c r="H24" s="146">
        <f t="shared" si="5"/>
        <v>-107.80032</v>
      </c>
      <c r="I24" s="106"/>
    </row>
    <row r="25" ht="15.75" spans="1:9">
      <c r="A25" s="91">
        <v>17</v>
      </c>
      <c r="B25" s="144" t="s">
        <v>187</v>
      </c>
      <c r="C25" s="145">
        <v>120</v>
      </c>
      <c r="D25" s="145">
        <f t="shared" si="3"/>
        <v>80.9616</v>
      </c>
      <c r="E25" s="145">
        <v>0</v>
      </c>
      <c r="F25" s="145">
        <v>80.9616</v>
      </c>
      <c r="G25" s="145">
        <f t="shared" si="4"/>
        <v>39.0384</v>
      </c>
      <c r="H25" s="146">
        <f t="shared" si="5"/>
        <v>-39.0384</v>
      </c>
      <c r="I25" s="106"/>
    </row>
    <row r="26" ht="15.75" spans="1:9">
      <c r="A26" s="91">
        <v>18</v>
      </c>
      <c r="B26" s="144" t="s">
        <v>188</v>
      </c>
      <c r="C26" s="145">
        <v>225</v>
      </c>
      <c r="D26" s="145">
        <f t="shared" si="3"/>
        <v>200</v>
      </c>
      <c r="E26" s="145">
        <v>0</v>
      </c>
      <c r="F26" s="145">
        <v>200</v>
      </c>
      <c r="G26" s="145">
        <f t="shared" si="4"/>
        <v>25</v>
      </c>
      <c r="H26" s="146">
        <f t="shared" si="5"/>
        <v>-25</v>
      </c>
      <c r="I26" s="106"/>
    </row>
    <row r="27" ht="15.75" spans="1:9">
      <c r="A27" s="91">
        <v>19</v>
      </c>
      <c r="B27" s="144" t="s">
        <v>189</v>
      </c>
      <c r="C27" s="145">
        <v>290</v>
      </c>
      <c r="D27" s="145">
        <f t="shared" si="3"/>
        <v>161</v>
      </c>
      <c r="E27" s="145">
        <v>0</v>
      </c>
      <c r="F27" s="145">
        <v>161</v>
      </c>
      <c r="G27" s="145">
        <f t="shared" si="4"/>
        <v>129</v>
      </c>
      <c r="H27" s="146">
        <f t="shared" si="5"/>
        <v>-129</v>
      </c>
      <c r="I27" s="106"/>
    </row>
    <row r="28" ht="15.75" spans="1:9">
      <c r="A28" s="91">
        <v>20</v>
      </c>
      <c r="B28" s="144" t="s">
        <v>190</v>
      </c>
      <c r="C28" s="145">
        <v>658.64</v>
      </c>
      <c r="D28" s="145">
        <f t="shared" si="3"/>
        <v>72.29217</v>
      </c>
      <c r="E28" s="145">
        <v>72.29217</v>
      </c>
      <c r="F28" s="145">
        <v>0</v>
      </c>
      <c r="G28" s="145">
        <f t="shared" si="4"/>
        <v>586.34783</v>
      </c>
      <c r="H28" s="146">
        <f t="shared" si="5"/>
        <v>-586.34783</v>
      </c>
      <c r="I28" s="106"/>
    </row>
    <row r="29" ht="15.75" spans="1:9">
      <c r="A29" s="91">
        <v>21</v>
      </c>
      <c r="B29" s="144" t="s">
        <v>191</v>
      </c>
      <c r="C29" s="145">
        <v>463.26</v>
      </c>
      <c r="D29" s="145">
        <f t="shared" si="3"/>
        <v>129.786177</v>
      </c>
      <c r="E29" s="145">
        <v>99.786177</v>
      </c>
      <c r="F29" s="145">
        <v>30</v>
      </c>
      <c r="G29" s="145">
        <f t="shared" si="4"/>
        <v>333.473823</v>
      </c>
      <c r="H29" s="146">
        <f t="shared" si="5"/>
        <v>-333.473823</v>
      </c>
      <c r="I29" s="106"/>
    </row>
    <row r="30" ht="15.75" spans="1:9">
      <c r="A30" s="91">
        <v>22</v>
      </c>
      <c r="B30" s="144" t="s">
        <v>192</v>
      </c>
      <c r="C30" s="145">
        <v>263</v>
      </c>
      <c r="D30" s="145">
        <f t="shared" si="3"/>
        <v>153.3322</v>
      </c>
      <c r="E30" s="145">
        <v>33.3322</v>
      </c>
      <c r="F30" s="145">
        <v>120</v>
      </c>
      <c r="G30" s="145">
        <f t="shared" si="4"/>
        <v>109.6678</v>
      </c>
      <c r="H30" s="146">
        <f t="shared" si="5"/>
        <v>-109.6678</v>
      </c>
      <c r="I30" s="106"/>
    </row>
    <row r="31" ht="15.75" spans="1:9">
      <c r="A31" s="91">
        <v>23</v>
      </c>
      <c r="B31" s="144" t="s">
        <v>193</v>
      </c>
      <c r="C31" s="145">
        <v>330</v>
      </c>
      <c r="D31" s="145">
        <f t="shared" si="3"/>
        <v>230</v>
      </c>
      <c r="E31" s="145">
        <v>30</v>
      </c>
      <c r="F31" s="145">
        <v>200</v>
      </c>
      <c r="G31" s="145">
        <f t="shared" si="4"/>
        <v>100</v>
      </c>
      <c r="H31" s="146">
        <f t="shared" si="5"/>
        <v>-100</v>
      </c>
      <c r="I31" s="106"/>
    </row>
    <row r="32" ht="15.75" spans="1:9">
      <c r="A32" s="91">
        <v>24</v>
      </c>
      <c r="B32" s="144" t="s">
        <v>194</v>
      </c>
      <c r="C32" s="145">
        <v>134.5</v>
      </c>
      <c r="D32" s="145">
        <f t="shared" si="3"/>
        <v>0</v>
      </c>
      <c r="E32" s="145">
        <v>0</v>
      </c>
      <c r="F32" s="145">
        <v>0</v>
      </c>
      <c r="G32" s="145">
        <f t="shared" si="4"/>
        <v>134.5</v>
      </c>
      <c r="H32" s="146">
        <f t="shared" si="5"/>
        <v>-134.5</v>
      </c>
      <c r="I32" s="106"/>
    </row>
    <row r="33" ht="15.75" spans="1:9">
      <c r="A33" s="91">
        <v>25</v>
      </c>
      <c r="B33" s="144" t="s">
        <v>195</v>
      </c>
      <c r="C33" s="145">
        <v>317</v>
      </c>
      <c r="D33" s="145">
        <f t="shared" si="3"/>
        <v>150</v>
      </c>
      <c r="E33" s="145">
        <v>0</v>
      </c>
      <c r="F33" s="145">
        <v>150</v>
      </c>
      <c r="G33" s="145">
        <f t="shared" si="4"/>
        <v>167</v>
      </c>
      <c r="H33" s="146">
        <f t="shared" si="5"/>
        <v>-167</v>
      </c>
      <c r="I33" s="106"/>
    </row>
    <row r="34" ht="15.75" spans="1:9">
      <c r="A34" s="91">
        <v>26</v>
      </c>
      <c r="B34" s="144" t="s">
        <v>196</v>
      </c>
      <c r="C34" s="145">
        <v>336.63</v>
      </c>
      <c r="D34" s="145">
        <f t="shared" si="3"/>
        <v>170.01148</v>
      </c>
      <c r="E34" s="145">
        <v>20.01148</v>
      </c>
      <c r="F34" s="145">
        <v>150</v>
      </c>
      <c r="G34" s="145">
        <f t="shared" si="4"/>
        <v>166.61852</v>
      </c>
      <c r="H34" s="146">
        <f t="shared" si="5"/>
        <v>-166.61852</v>
      </c>
      <c r="I34" s="106"/>
    </row>
    <row r="35" ht="15.75" spans="1:9">
      <c r="A35" s="91">
        <v>27</v>
      </c>
      <c r="B35" s="144" t="s">
        <v>197</v>
      </c>
      <c r="C35" s="145">
        <v>1099.94</v>
      </c>
      <c r="D35" s="145">
        <f t="shared" si="3"/>
        <v>443.6352</v>
      </c>
      <c r="E35" s="145">
        <v>93.6352</v>
      </c>
      <c r="F35" s="145">
        <v>350</v>
      </c>
      <c r="G35" s="145">
        <f t="shared" si="4"/>
        <v>656.3048</v>
      </c>
      <c r="H35" s="146">
        <f t="shared" si="5"/>
        <v>-656.3048</v>
      </c>
      <c r="I35" s="106"/>
    </row>
    <row r="36" ht="15.75" spans="1:9">
      <c r="A36" s="91">
        <v>28</v>
      </c>
      <c r="B36" s="144" t="s">
        <v>198</v>
      </c>
      <c r="C36" s="145">
        <v>564.3</v>
      </c>
      <c r="D36" s="145">
        <f t="shared" si="3"/>
        <v>384.264845</v>
      </c>
      <c r="E36" s="145">
        <v>284.264845</v>
      </c>
      <c r="F36" s="145">
        <v>100</v>
      </c>
      <c r="G36" s="145">
        <f t="shared" si="4"/>
        <v>180.035155</v>
      </c>
      <c r="H36" s="146">
        <f t="shared" si="5"/>
        <v>-180.035155</v>
      </c>
      <c r="I36" s="106"/>
    </row>
    <row r="37" ht="15.75" spans="1:9">
      <c r="A37" s="91">
        <v>29</v>
      </c>
      <c r="B37" s="144" t="s">
        <v>199</v>
      </c>
      <c r="C37" s="145">
        <v>230</v>
      </c>
      <c r="D37" s="145">
        <f t="shared" si="3"/>
        <v>186.2071</v>
      </c>
      <c r="E37" s="145">
        <v>42.2071</v>
      </c>
      <c r="F37" s="145">
        <v>144</v>
      </c>
      <c r="G37" s="145">
        <f t="shared" si="4"/>
        <v>43.7929</v>
      </c>
      <c r="H37" s="146">
        <f t="shared" si="5"/>
        <v>-43.7929</v>
      </c>
      <c r="I37" s="106"/>
    </row>
    <row r="38" ht="15.75" spans="1:9">
      <c r="A38" s="91">
        <v>30</v>
      </c>
      <c r="B38" s="144" t="s">
        <v>200</v>
      </c>
      <c r="C38" s="145">
        <v>243.36</v>
      </c>
      <c r="D38" s="145">
        <f t="shared" si="3"/>
        <v>115.224856</v>
      </c>
      <c r="E38" s="145">
        <v>35.224856</v>
      </c>
      <c r="F38" s="145">
        <v>80</v>
      </c>
      <c r="G38" s="145">
        <f t="shared" si="4"/>
        <v>128.135144</v>
      </c>
      <c r="H38" s="146">
        <f t="shared" si="5"/>
        <v>-128.135144</v>
      </c>
      <c r="I38" s="106"/>
    </row>
    <row r="39" ht="15.75" spans="1:9">
      <c r="A39" s="91">
        <v>31</v>
      </c>
      <c r="B39" s="144" t="s">
        <v>201</v>
      </c>
      <c r="C39" s="145">
        <v>172.31</v>
      </c>
      <c r="D39" s="145">
        <f t="shared" si="3"/>
        <v>104.451346</v>
      </c>
      <c r="E39" s="145">
        <v>54.451346</v>
      </c>
      <c r="F39" s="145">
        <v>50</v>
      </c>
      <c r="G39" s="145">
        <f t="shared" si="4"/>
        <v>67.858654</v>
      </c>
      <c r="H39" s="146">
        <f t="shared" si="5"/>
        <v>-67.858654</v>
      </c>
      <c r="I39" s="106"/>
    </row>
    <row r="40" ht="15.75" spans="1:9">
      <c r="A40" s="91">
        <v>32</v>
      </c>
      <c r="B40" s="144" t="s">
        <v>202</v>
      </c>
      <c r="C40" s="145">
        <v>214.18</v>
      </c>
      <c r="D40" s="145">
        <f t="shared" si="3"/>
        <v>61.4087</v>
      </c>
      <c r="E40" s="145">
        <v>46.4087</v>
      </c>
      <c r="F40" s="145">
        <v>15</v>
      </c>
      <c r="G40" s="145">
        <f t="shared" si="4"/>
        <v>152.7713</v>
      </c>
      <c r="H40" s="146">
        <f t="shared" si="5"/>
        <v>-152.7713</v>
      </c>
      <c r="I40" s="106"/>
    </row>
    <row r="41" ht="15.75" spans="1:9">
      <c r="A41" s="91">
        <v>33</v>
      </c>
      <c r="B41" s="144" t="s">
        <v>203</v>
      </c>
      <c r="C41" s="145">
        <v>203.65</v>
      </c>
      <c r="D41" s="145">
        <f t="shared" si="3"/>
        <v>142.085095</v>
      </c>
      <c r="E41" s="145">
        <v>92.085095</v>
      </c>
      <c r="F41" s="145">
        <v>50</v>
      </c>
      <c r="G41" s="145">
        <f t="shared" si="4"/>
        <v>61.564905</v>
      </c>
      <c r="H41" s="146">
        <f t="shared" si="5"/>
        <v>-61.564905</v>
      </c>
      <c r="I41" s="106"/>
    </row>
    <row r="42" ht="15.75" spans="1:9">
      <c r="A42" s="91">
        <v>34</v>
      </c>
      <c r="B42" s="144" t="s">
        <v>204</v>
      </c>
      <c r="C42" s="145">
        <v>250</v>
      </c>
      <c r="D42" s="145">
        <f t="shared" ref="D42:D85" si="6">E42+F42</f>
        <v>181.841</v>
      </c>
      <c r="E42" s="145">
        <v>1.841</v>
      </c>
      <c r="F42" s="145">
        <v>180</v>
      </c>
      <c r="G42" s="145">
        <f t="shared" ref="G42:G85" si="7">C42-D42</f>
        <v>68.159</v>
      </c>
      <c r="H42" s="146">
        <f t="shared" ref="H42:H85" si="8">-G42</f>
        <v>-68.159</v>
      </c>
      <c r="I42" s="106"/>
    </row>
    <row r="43" ht="15.75" spans="1:9">
      <c r="A43" s="91">
        <v>35</v>
      </c>
      <c r="B43" s="144" t="s">
        <v>205</v>
      </c>
      <c r="C43" s="145">
        <v>270</v>
      </c>
      <c r="D43" s="145">
        <f t="shared" si="6"/>
        <v>170</v>
      </c>
      <c r="E43" s="145">
        <v>0.1999</v>
      </c>
      <c r="F43" s="145">
        <v>169.8001</v>
      </c>
      <c r="G43" s="145">
        <f t="shared" si="7"/>
        <v>100</v>
      </c>
      <c r="H43" s="146">
        <f t="shared" si="8"/>
        <v>-100</v>
      </c>
      <c r="I43" s="106"/>
    </row>
    <row r="44" ht="31.5" spans="1:9">
      <c r="A44" s="91">
        <v>36</v>
      </c>
      <c r="B44" s="144" t="s">
        <v>206</v>
      </c>
      <c r="C44" s="145">
        <v>245</v>
      </c>
      <c r="D44" s="145">
        <f t="shared" si="6"/>
        <v>16</v>
      </c>
      <c r="E44" s="145">
        <v>9.35763</v>
      </c>
      <c r="F44" s="145">
        <v>6.64237</v>
      </c>
      <c r="G44" s="145">
        <f t="shared" si="7"/>
        <v>229</v>
      </c>
      <c r="H44" s="146">
        <f t="shared" si="8"/>
        <v>-229</v>
      </c>
      <c r="I44" s="106"/>
    </row>
    <row r="45" ht="15.75" spans="1:9">
      <c r="A45" s="91">
        <v>37</v>
      </c>
      <c r="B45" s="144" t="s">
        <v>207</v>
      </c>
      <c r="C45" s="145">
        <v>577.52</v>
      </c>
      <c r="D45" s="145">
        <f t="shared" si="6"/>
        <v>280.883</v>
      </c>
      <c r="E45" s="145">
        <v>80.883</v>
      </c>
      <c r="F45" s="145">
        <v>200</v>
      </c>
      <c r="G45" s="145">
        <f t="shared" si="7"/>
        <v>296.637</v>
      </c>
      <c r="H45" s="146">
        <f t="shared" si="8"/>
        <v>-296.637</v>
      </c>
      <c r="I45" s="106"/>
    </row>
    <row r="46" ht="15.75" spans="1:9">
      <c r="A46" s="91">
        <v>38</v>
      </c>
      <c r="B46" s="144" t="s">
        <v>208</v>
      </c>
      <c r="C46" s="145">
        <v>210</v>
      </c>
      <c r="D46" s="145">
        <f t="shared" si="6"/>
        <v>41.66364</v>
      </c>
      <c r="E46" s="145">
        <v>0</v>
      </c>
      <c r="F46" s="145">
        <v>41.66364</v>
      </c>
      <c r="G46" s="145">
        <f t="shared" si="7"/>
        <v>168.33636</v>
      </c>
      <c r="H46" s="146">
        <f t="shared" si="8"/>
        <v>-168.33636</v>
      </c>
      <c r="I46" s="106"/>
    </row>
    <row r="47" ht="15.75" spans="1:9">
      <c r="A47" s="91">
        <v>39</v>
      </c>
      <c r="B47" s="144" t="s">
        <v>209</v>
      </c>
      <c r="C47" s="145">
        <v>680</v>
      </c>
      <c r="D47" s="145">
        <f t="shared" si="6"/>
        <v>124.8952</v>
      </c>
      <c r="E47" s="145">
        <v>29.018</v>
      </c>
      <c r="F47" s="145">
        <v>95.8772</v>
      </c>
      <c r="G47" s="145">
        <f t="shared" si="7"/>
        <v>555.1048</v>
      </c>
      <c r="H47" s="146">
        <f t="shared" si="8"/>
        <v>-555.1048</v>
      </c>
      <c r="I47" s="106"/>
    </row>
    <row r="48" ht="15.75" spans="1:9">
      <c r="A48" s="91">
        <v>40</v>
      </c>
      <c r="B48" s="144" t="s">
        <v>210</v>
      </c>
      <c r="C48" s="145">
        <v>120</v>
      </c>
      <c r="D48" s="145">
        <f t="shared" si="6"/>
        <v>80</v>
      </c>
      <c r="E48" s="145">
        <v>0</v>
      </c>
      <c r="F48" s="145">
        <v>80</v>
      </c>
      <c r="G48" s="145">
        <f t="shared" si="7"/>
        <v>40</v>
      </c>
      <c r="H48" s="146">
        <f t="shared" si="8"/>
        <v>-40</v>
      </c>
      <c r="I48" s="106"/>
    </row>
    <row r="49" ht="15.75" spans="1:9">
      <c r="A49" s="91">
        <v>41</v>
      </c>
      <c r="B49" s="144" t="s">
        <v>211</v>
      </c>
      <c r="C49" s="145">
        <v>100</v>
      </c>
      <c r="D49" s="145">
        <f t="shared" si="6"/>
        <v>0</v>
      </c>
      <c r="E49" s="145">
        <v>0</v>
      </c>
      <c r="F49" s="145">
        <v>0</v>
      </c>
      <c r="G49" s="145">
        <f t="shared" si="7"/>
        <v>100</v>
      </c>
      <c r="H49" s="146">
        <f t="shared" si="8"/>
        <v>-100</v>
      </c>
      <c r="I49" s="106"/>
    </row>
    <row r="50" ht="15.75" spans="1:9">
      <c r="A50" s="91">
        <v>42</v>
      </c>
      <c r="B50" s="144" t="s">
        <v>212</v>
      </c>
      <c r="C50" s="145">
        <v>160</v>
      </c>
      <c r="D50" s="145">
        <f t="shared" si="6"/>
        <v>0</v>
      </c>
      <c r="E50" s="145">
        <v>0</v>
      </c>
      <c r="F50" s="145">
        <v>0</v>
      </c>
      <c r="G50" s="145">
        <f t="shared" si="7"/>
        <v>160</v>
      </c>
      <c r="H50" s="146">
        <f t="shared" si="8"/>
        <v>-160</v>
      </c>
      <c r="I50" s="106"/>
    </row>
    <row r="51" ht="15.75" spans="1:9">
      <c r="A51" s="91">
        <v>43</v>
      </c>
      <c r="B51" s="144" t="s">
        <v>213</v>
      </c>
      <c r="C51" s="145">
        <v>758</v>
      </c>
      <c r="D51" s="145">
        <f t="shared" si="6"/>
        <v>123.18</v>
      </c>
      <c r="E51" s="145">
        <v>8.39</v>
      </c>
      <c r="F51" s="145">
        <v>114.79</v>
      </c>
      <c r="G51" s="145">
        <f t="shared" si="7"/>
        <v>634.82</v>
      </c>
      <c r="H51" s="146">
        <f t="shared" si="8"/>
        <v>-634.82</v>
      </c>
      <c r="I51" s="106"/>
    </row>
    <row r="52" ht="15.75" spans="1:9">
      <c r="A52" s="91">
        <v>44</v>
      </c>
      <c r="B52" s="144" t="s">
        <v>214</v>
      </c>
      <c r="C52" s="145">
        <v>320</v>
      </c>
      <c r="D52" s="145">
        <f t="shared" si="6"/>
        <v>220</v>
      </c>
      <c r="E52" s="145">
        <v>0</v>
      </c>
      <c r="F52" s="145">
        <v>220</v>
      </c>
      <c r="G52" s="145">
        <f t="shared" si="7"/>
        <v>100</v>
      </c>
      <c r="H52" s="146">
        <f t="shared" si="8"/>
        <v>-100</v>
      </c>
      <c r="I52" s="106"/>
    </row>
    <row r="53" ht="15.75" spans="1:9">
      <c r="A53" s="91">
        <v>45</v>
      </c>
      <c r="B53" s="144" t="s">
        <v>215</v>
      </c>
      <c r="C53" s="145">
        <v>930</v>
      </c>
      <c r="D53" s="145">
        <f t="shared" si="6"/>
        <v>200</v>
      </c>
      <c r="E53" s="145">
        <v>0</v>
      </c>
      <c r="F53" s="145">
        <v>200</v>
      </c>
      <c r="G53" s="145">
        <f t="shared" si="7"/>
        <v>730</v>
      </c>
      <c r="H53" s="146">
        <f t="shared" si="8"/>
        <v>-730</v>
      </c>
      <c r="I53" s="106"/>
    </row>
    <row r="54" ht="15.75" spans="1:9">
      <c r="A54" s="91">
        <v>46</v>
      </c>
      <c r="B54" s="144" t="s">
        <v>216</v>
      </c>
      <c r="C54" s="145">
        <v>100</v>
      </c>
      <c r="D54" s="145">
        <f t="shared" si="6"/>
        <v>0</v>
      </c>
      <c r="E54" s="145">
        <v>0</v>
      </c>
      <c r="F54" s="145">
        <v>0</v>
      </c>
      <c r="G54" s="145">
        <f t="shared" si="7"/>
        <v>100</v>
      </c>
      <c r="H54" s="146">
        <f t="shared" si="8"/>
        <v>-100</v>
      </c>
      <c r="I54" s="106"/>
    </row>
    <row r="55" ht="15.75" spans="1:9">
      <c r="A55" s="91">
        <v>47</v>
      </c>
      <c r="B55" s="144" t="s">
        <v>217</v>
      </c>
      <c r="C55" s="145">
        <v>200</v>
      </c>
      <c r="D55" s="145">
        <f t="shared" si="6"/>
        <v>177.4944</v>
      </c>
      <c r="E55" s="145">
        <v>43.7472</v>
      </c>
      <c r="F55" s="145">
        <v>133.7472</v>
      </c>
      <c r="G55" s="145">
        <f t="shared" si="7"/>
        <v>22.5056</v>
      </c>
      <c r="H55" s="146">
        <f t="shared" si="8"/>
        <v>-22.5056</v>
      </c>
      <c r="I55" s="106"/>
    </row>
    <row r="56" ht="15.75" spans="1:9">
      <c r="A56" s="91">
        <v>48</v>
      </c>
      <c r="B56" s="144" t="s">
        <v>218</v>
      </c>
      <c r="C56" s="145">
        <v>1200</v>
      </c>
      <c r="D56" s="145">
        <f t="shared" si="6"/>
        <v>1566.5567</v>
      </c>
      <c r="E56" s="145">
        <v>766.5567</v>
      </c>
      <c r="F56" s="145">
        <v>800</v>
      </c>
      <c r="G56" s="145">
        <f t="shared" si="7"/>
        <v>-366.5567</v>
      </c>
      <c r="H56" s="146">
        <f t="shared" si="8"/>
        <v>366.5567</v>
      </c>
      <c r="I56" s="106"/>
    </row>
    <row r="57" ht="15.75" spans="1:9">
      <c r="A57" s="91">
        <v>49</v>
      </c>
      <c r="B57" s="144" t="s">
        <v>219</v>
      </c>
      <c r="C57" s="145">
        <v>600</v>
      </c>
      <c r="D57" s="145">
        <f t="shared" si="6"/>
        <v>149.896907</v>
      </c>
      <c r="E57" s="145">
        <v>49.896907</v>
      </c>
      <c r="F57" s="145">
        <v>100</v>
      </c>
      <c r="G57" s="145">
        <f t="shared" si="7"/>
        <v>450.103093</v>
      </c>
      <c r="H57" s="146">
        <f t="shared" si="8"/>
        <v>-450.103093</v>
      </c>
      <c r="I57" s="106"/>
    </row>
    <row r="58" ht="15.75" spans="1:9">
      <c r="A58" s="91">
        <v>50</v>
      </c>
      <c r="B58" s="144" t="s">
        <v>220</v>
      </c>
      <c r="C58" s="145">
        <v>300</v>
      </c>
      <c r="D58" s="145">
        <f t="shared" si="6"/>
        <v>0</v>
      </c>
      <c r="E58" s="145">
        <v>0</v>
      </c>
      <c r="F58" s="145">
        <v>0</v>
      </c>
      <c r="G58" s="145">
        <f t="shared" si="7"/>
        <v>300</v>
      </c>
      <c r="H58" s="146">
        <f t="shared" si="8"/>
        <v>-300</v>
      </c>
      <c r="I58" s="106"/>
    </row>
    <row r="59" ht="15.75" spans="1:9">
      <c r="A59" s="91">
        <v>51</v>
      </c>
      <c r="B59" s="144" t="s">
        <v>221</v>
      </c>
      <c r="C59" s="145">
        <v>700</v>
      </c>
      <c r="D59" s="145">
        <f t="shared" si="6"/>
        <v>826.3115</v>
      </c>
      <c r="E59" s="145">
        <v>326.3115</v>
      </c>
      <c r="F59" s="145">
        <v>500</v>
      </c>
      <c r="G59" s="145">
        <f t="shared" si="7"/>
        <v>-126.3115</v>
      </c>
      <c r="H59" s="146">
        <f t="shared" si="8"/>
        <v>126.3115</v>
      </c>
      <c r="I59" s="106"/>
    </row>
    <row r="60" ht="15.75" spans="1:9">
      <c r="A60" s="91">
        <v>52</v>
      </c>
      <c r="B60" s="144" t="s">
        <v>222</v>
      </c>
      <c r="C60" s="145">
        <v>120</v>
      </c>
      <c r="D60" s="145">
        <f t="shared" si="6"/>
        <v>0</v>
      </c>
      <c r="E60" s="145">
        <v>0</v>
      </c>
      <c r="F60" s="145">
        <v>0</v>
      </c>
      <c r="G60" s="145">
        <f t="shared" si="7"/>
        <v>120</v>
      </c>
      <c r="H60" s="146">
        <f t="shared" si="8"/>
        <v>-120</v>
      </c>
      <c r="I60" s="106"/>
    </row>
    <row r="61" ht="15.75" spans="1:9">
      <c r="A61" s="91">
        <v>53</v>
      </c>
      <c r="B61" s="144" t="s">
        <v>223</v>
      </c>
      <c r="C61" s="145">
        <v>200</v>
      </c>
      <c r="D61" s="145">
        <f t="shared" si="6"/>
        <v>38.4843</v>
      </c>
      <c r="E61" s="145">
        <v>8.4843</v>
      </c>
      <c r="F61" s="145">
        <v>30</v>
      </c>
      <c r="G61" s="145">
        <f t="shared" si="7"/>
        <v>161.5157</v>
      </c>
      <c r="H61" s="146">
        <f t="shared" si="8"/>
        <v>-161.5157</v>
      </c>
      <c r="I61" s="106"/>
    </row>
    <row r="62" ht="15.75" spans="1:9">
      <c r="A62" s="91">
        <v>54</v>
      </c>
      <c r="B62" s="144" t="s">
        <v>224</v>
      </c>
      <c r="C62" s="145">
        <v>500</v>
      </c>
      <c r="D62" s="145">
        <f t="shared" si="6"/>
        <v>518.2404</v>
      </c>
      <c r="E62" s="145">
        <v>184.1202</v>
      </c>
      <c r="F62" s="145">
        <v>334.1202</v>
      </c>
      <c r="G62" s="145">
        <f t="shared" si="7"/>
        <v>-18.2404</v>
      </c>
      <c r="H62" s="146">
        <f t="shared" si="8"/>
        <v>18.2404</v>
      </c>
      <c r="I62" s="106"/>
    </row>
    <row r="63" ht="15.75" spans="1:9">
      <c r="A63" s="91">
        <v>55</v>
      </c>
      <c r="B63" s="144" t="s">
        <v>225</v>
      </c>
      <c r="C63" s="145">
        <v>184.08</v>
      </c>
      <c r="D63" s="145">
        <f t="shared" si="6"/>
        <v>0</v>
      </c>
      <c r="E63" s="145">
        <v>0</v>
      </c>
      <c r="F63" s="145">
        <v>0</v>
      </c>
      <c r="G63" s="145">
        <f t="shared" si="7"/>
        <v>184.08</v>
      </c>
      <c r="H63" s="146">
        <f t="shared" si="8"/>
        <v>-184.08</v>
      </c>
      <c r="I63" s="106"/>
    </row>
    <row r="64" ht="15.75" spans="1:9">
      <c r="A64" s="91">
        <v>56</v>
      </c>
      <c r="B64" s="144" t="s">
        <v>226</v>
      </c>
      <c r="C64" s="145">
        <v>982.23435</v>
      </c>
      <c r="D64" s="145">
        <f t="shared" si="6"/>
        <v>774.828</v>
      </c>
      <c r="E64" s="145">
        <v>554.828</v>
      </c>
      <c r="F64" s="145">
        <v>220</v>
      </c>
      <c r="G64" s="145">
        <f t="shared" si="7"/>
        <v>207.40635</v>
      </c>
      <c r="H64" s="146">
        <f t="shared" si="8"/>
        <v>-207.40635</v>
      </c>
      <c r="I64" s="106"/>
    </row>
    <row r="65" s="137" customFormat="true" ht="15.75" spans="1:9">
      <c r="A65" s="91">
        <v>57</v>
      </c>
      <c r="B65" s="144" t="s">
        <v>227</v>
      </c>
      <c r="C65" s="145">
        <v>906.6</v>
      </c>
      <c r="D65" s="145">
        <f t="shared" si="6"/>
        <v>187.939122</v>
      </c>
      <c r="E65" s="145">
        <v>87.939122</v>
      </c>
      <c r="F65" s="145">
        <v>100</v>
      </c>
      <c r="G65" s="145">
        <f t="shared" si="7"/>
        <v>718.660878</v>
      </c>
      <c r="H65" s="146">
        <f t="shared" si="8"/>
        <v>-718.660878</v>
      </c>
      <c r="I65" s="106"/>
    </row>
    <row r="66" s="137" customFormat="true" ht="15.75" spans="1:9">
      <c r="A66" s="91">
        <v>58</v>
      </c>
      <c r="B66" s="144" t="s">
        <v>228</v>
      </c>
      <c r="C66" s="145">
        <v>1264</v>
      </c>
      <c r="D66" s="145">
        <f t="shared" si="6"/>
        <v>1047.367417</v>
      </c>
      <c r="E66" s="145">
        <v>427.367417</v>
      </c>
      <c r="F66" s="145">
        <v>620</v>
      </c>
      <c r="G66" s="145">
        <f t="shared" si="7"/>
        <v>216.632583</v>
      </c>
      <c r="H66" s="146">
        <f t="shared" si="8"/>
        <v>-216.632583</v>
      </c>
      <c r="I66" s="106"/>
    </row>
    <row r="67" s="137" customFormat="true" ht="15.75" spans="1:9">
      <c r="A67" s="91">
        <v>59</v>
      </c>
      <c r="B67" s="144" t="s">
        <v>229</v>
      </c>
      <c r="C67" s="145">
        <v>7515.6</v>
      </c>
      <c r="D67" s="145">
        <f t="shared" si="6"/>
        <v>5804.533</v>
      </c>
      <c r="E67" s="145">
        <v>4304.533</v>
      </c>
      <c r="F67" s="145">
        <v>1500</v>
      </c>
      <c r="G67" s="145">
        <f t="shared" si="7"/>
        <v>1711.067</v>
      </c>
      <c r="H67" s="146">
        <f t="shared" si="8"/>
        <v>-1711.067</v>
      </c>
      <c r="I67" s="106"/>
    </row>
    <row r="68" s="137" customFormat="true" ht="15.75" spans="1:9">
      <c r="A68" s="91">
        <v>60</v>
      </c>
      <c r="B68" s="144" t="s">
        <v>230</v>
      </c>
      <c r="C68" s="145">
        <v>598.04</v>
      </c>
      <c r="D68" s="145">
        <f t="shared" si="6"/>
        <v>100</v>
      </c>
      <c r="E68" s="145">
        <v>0</v>
      </c>
      <c r="F68" s="145">
        <v>100</v>
      </c>
      <c r="G68" s="145">
        <f t="shared" si="7"/>
        <v>498.04</v>
      </c>
      <c r="H68" s="146">
        <f t="shared" si="8"/>
        <v>-498.04</v>
      </c>
      <c r="I68" s="106"/>
    </row>
    <row r="69" s="137" customFormat="true" ht="15.75" spans="1:9">
      <c r="A69" s="91">
        <v>61</v>
      </c>
      <c r="B69" s="144" t="s">
        <v>231</v>
      </c>
      <c r="C69" s="145">
        <v>450</v>
      </c>
      <c r="D69" s="145">
        <f t="shared" si="6"/>
        <v>157.075977</v>
      </c>
      <c r="E69" s="145">
        <v>57.075977</v>
      </c>
      <c r="F69" s="145">
        <v>100</v>
      </c>
      <c r="G69" s="145">
        <f t="shared" si="7"/>
        <v>292.924023</v>
      </c>
      <c r="H69" s="146">
        <f t="shared" si="8"/>
        <v>-292.924023</v>
      </c>
      <c r="I69" s="106"/>
    </row>
    <row r="70" s="137" customFormat="true" ht="15.75" spans="1:9">
      <c r="A70" s="91">
        <v>62</v>
      </c>
      <c r="B70" s="144" t="s">
        <v>232</v>
      </c>
      <c r="C70" s="145">
        <v>300</v>
      </c>
      <c r="D70" s="145">
        <f t="shared" si="6"/>
        <v>144.724133</v>
      </c>
      <c r="E70" s="145">
        <v>116.724133</v>
      </c>
      <c r="F70" s="145">
        <v>28</v>
      </c>
      <c r="G70" s="145">
        <f t="shared" si="7"/>
        <v>155.275867</v>
      </c>
      <c r="H70" s="146">
        <f t="shared" si="8"/>
        <v>-155.275867</v>
      </c>
      <c r="I70" s="106"/>
    </row>
    <row r="71" s="137" customFormat="true" ht="15.75" spans="1:9">
      <c r="A71" s="91">
        <v>63</v>
      </c>
      <c r="B71" s="144" t="s">
        <v>233</v>
      </c>
      <c r="C71" s="145">
        <v>188.9267</v>
      </c>
      <c r="D71" s="145">
        <f t="shared" si="6"/>
        <v>0</v>
      </c>
      <c r="E71" s="145">
        <v>0</v>
      </c>
      <c r="F71" s="145">
        <v>0</v>
      </c>
      <c r="G71" s="145">
        <f t="shared" si="7"/>
        <v>188.9267</v>
      </c>
      <c r="H71" s="146">
        <f t="shared" si="8"/>
        <v>-188.9267</v>
      </c>
      <c r="I71" s="106"/>
    </row>
    <row r="72" s="137" customFormat="true" ht="15.75" spans="1:9">
      <c r="A72" s="91">
        <v>64</v>
      </c>
      <c r="B72" s="144" t="s">
        <v>234</v>
      </c>
      <c r="C72" s="145">
        <v>9312.1</v>
      </c>
      <c r="D72" s="145">
        <f t="shared" si="6"/>
        <v>9072.372</v>
      </c>
      <c r="E72" s="145">
        <v>2976.012</v>
      </c>
      <c r="F72" s="145">
        <v>6096.36</v>
      </c>
      <c r="G72" s="145">
        <f t="shared" si="7"/>
        <v>239.728000000001</v>
      </c>
      <c r="H72" s="146">
        <f t="shared" si="8"/>
        <v>-239.728000000001</v>
      </c>
      <c r="I72" s="106"/>
    </row>
    <row r="73" s="137" customFormat="true" ht="15.75" spans="1:9">
      <c r="A73" s="91">
        <v>65</v>
      </c>
      <c r="B73" s="144" t="s">
        <v>235</v>
      </c>
      <c r="C73" s="145">
        <v>600</v>
      </c>
      <c r="D73" s="145">
        <f t="shared" si="6"/>
        <v>352.797122</v>
      </c>
      <c r="E73" s="145">
        <v>17.021202</v>
      </c>
      <c r="F73" s="145">
        <v>335.77592</v>
      </c>
      <c r="G73" s="145">
        <f t="shared" si="7"/>
        <v>247.202878</v>
      </c>
      <c r="H73" s="146">
        <f t="shared" si="8"/>
        <v>-247.202878</v>
      </c>
      <c r="I73" s="106"/>
    </row>
    <row r="74" s="137" customFormat="true" ht="15.75" spans="1:9">
      <c r="A74" s="91">
        <v>66</v>
      </c>
      <c r="B74" s="144" t="s">
        <v>236</v>
      </c>
      <c r="C74" s="145">
        <v>190.131161</v>
      </c>
      <c r="D74" s="145">
        <f t="shared" si="6"/>
        <v>0</v>
      </c>
      <c r="E74" s="145">
        <v>0</v>
      </c>
      <c r="F74" s="145">
        <v>0</v>
      </c>
      <c r="G74" s="145">
        <f t="shared" si="7"/>
        <v>190.131161</v>
      </c>
      <c r="H74" s="146">
        <f t="shared" si="8"/>
        <v>-190.131161</v>
      </c>
      <c r="I74" s="106"/>
    </row>
    <row r="75" s="137" customFormat="true" ht="15.75" spans="1:9">
      <c r="A75" s="91">
        <v>67</v>
      </c>
      <c r="B75" s="144" t="s">
        <v>237</v>
      </c>
      <c r="C75" s="145">
        <v>100</v>
      </c>
      <c r="D75" s="145">
        <f t="shared" si="6"/>
        <v>0</v>
      </c>
      <c r="E75" s="145">
        <v>0</v>
      </c>
      <c r="F75" s="145">
        <v>0</v>
      </c>
      <c r="G75" s="145">
        <f t="shared" si="7"/>
        <v>100</v>
      </c>
      <c r="H75" s="146">
        <f t="shared" si="8"/>
        <v>-100</v>
      </c>
      <c r="I75" s="106"/>
    </row>
    <row r="76" s="137" customFormat="true" ht="15.75" spans="1:9">
      <c r="A76" s="91">
        <v>68</v>
      </c>
      <c r="B76" s="144" t="s">
        <v>238</v>
      </c>
      <c r="C76" s="145">
        <v>589.29</v>
      </c>
      <c r="D76" s="145">
        <f t="shared" si="6"/>
        <v>0</v>
      </c>
      <c r="E76" s="145">
        <v>0</v>
      </c>
      <c r="F76" s="145">
        <v>0</v>
      </c>
      <c r="G76" s="145">
        <f t="shared" si="7"/>
        <v>589.29</v>
      </c>
      <c r="H76" s="146">
        <f t="shared" si="8"/>
        <v>-589.29</v>
      </c>
      <c r="I76" s="106"/>
    </row>
    <row r="77" s="137" customFormat="true" ht="15.75" spans="1:9">
      <c r="A77" s="91">
        <v>69</v>
      </c>
      <c r="B77" s="144" t="s">
        <v>239</v>
      </c>
      <c r="C77" s="145">
        <v>342.969</v>
      </c>
      <c r="D77" s="145">
        <f t="shared" si="6"/>
        <v>0</v>
      </c>
      <c r="E77" s="145">
        <v>0</v>
      </c>
      <c r="F77" s="145">
        <v>0</v>
      </c>
      <c r="G77" s="145">
        <f t="shared" si="7"/>
        <v>342.969</v>
      </c>
      <c r="H77" s="146">
        <f t="shared" si="8"/>
        <v>-342.969</v>
      </c>
      <c r="I77" s="106"/>
    </row>
    <row r="78" s="137" customFormat="true" ht="15.75" spans="1:9">
      <c r="A78" s="91">
        <v>70</v>
      </c>
      <c r="B78" s="144" t="s">
        <v>240</v>
      </c>
      <c r="C78" s="145">
        <v>287.242239</v>
      </c>
      <c r="D78" s="145">
        <f t="shared" si="6"/>
        <v>0</v>
      </c>
      <c r="E78" s="145">
        <v>0</v>
      </c>
      <c r="F78" s="145">
        <v>0</v>
      </c>
      <c r="G78" s="145">
        <f t="shared" si="7"/>
        <v>287.242239</v>
      </c>
      <c r="H78" s="146">
        <f t="shared" si="8"/>
        <v>-287.242239</v>
      </c>
      <c r="I78" s="106"/>
    </row>
    <row r="79" s="137" customFormat="true" ht="15.75" spans="1:9">
      <c r="A79" s="91">
        <v>71</v>
      </c>
      <c r="B79" s="144" t="s">
        <v>241</v>
      </c>
      <c r="C79" s="145">
        <v>292</v>
      </c>
      <c r="D79" s="145">
        <f t="shared" si="6"/>
        <v>145.093101</v>
      </c>
      <c r="E79" s="145">
        <v>84.603101</v>
      </c>
      <c r="F79" s="145">
        <v>60.49</v>
      </c>
      <c r="G79" s="145">
        <f t="shared" si="7"/>
        <v>146.906899</v>
      </c>
      <c r="H79" s="146">
        <f t="shared" si="8"/>
        <v>-146.906899</v>
      </c>
      <c r="I79" s="106"/>
    </row>
    <row r="80" s="137" customFormat="true" ht="15.75" spans="1:9">
      <c r="A80" s="91">
        <v>72</v>
      </c>
      <c r="B80" s="144" t="s">
        <v>242</v>
      </c>
      <c r="C80" s="145">
        <v>100.8867</v>
      </c>
      <c r="D80" s="145">
        <f t="shared" si="6"/>
        <v>0</v>
      </c>
      <c r="E80" s="145">
        <v>0</v>
      </c>
      <c r="F80" s="145">
        <v>0</v>
      </c>
      <c r="G80" s="145">
        <f t="shared" si="7"/>
        <v>100.8867</v>
      </c>
      <c r="H80" s="146">
        <f t="shared" si="8"/>
        <v>-100.8867</v>
      </c>
      <c r="I80" s="106"/>
    </row>
    <row r="81" s="137" customFormat="true" ht="15.75" spans="1:9">
      <c r="A81" s="91">
        <v>73</v>
      </c>
      <c r="B81" s="144" t="s">
        <v>243</v>
      </c>
      <c r="C81" s="145">
        <v>377.76</v>
      </c>
      <c r="D81" s="145">
        <f t="shared" si="6"/>
        <v>236.42</v>
      </c>
      <c r="E81" s="145">
        <v>236.42</v>
      </c>
      <c r="F81" s="145">
        <v>0</v>
      </c>
      <c r="G81" s="145">
        <f t="shared" si="7"/>
        <v>141.34</v>
      </c>
      <c r="H81" s="146">
        <f t="shared" si="8"/>
        <v>-141.34</v>
      </c>
      <c r="I81" s="106"/>
    </row>
    <row r="82" s="137" customFormat="true" ht="15.75" spans="1:9">
      <c r="A82" s="91">
        <v>74</v>
      </c>
      <c r="B82" s="144" t="s">
        <v>244</v>
      </c>
      <c r="C82" s="145">
        <v>199.2</v>
      </c>
      <c r="D82" s="145">
        <f t="shared" si="6"/>
        <v>0</v>
      </c>
      <c r="E82" s="145">
        <v>0</v>
      </c>
      <c r="F82" s="145">
        <v>0</v>
      </c>
      <c r="G82" s="145">
        <f t="shared" si="7"/>
        <v>199.2</v>
      </c>
      <c r="H82" s="146">
        <f t="shared" si="8"/>
        <v>-199.2</v>
      </c>
      <c r="I82" s="106"/>
    </row>
    <row r="83" s="137" customFormat="true" ht="15.75" spans="1:9">
      <c r="A83" s="91">
        <v>75</v>
      </c>
      <c r="B83" s="144" t="s">
        <v>245</v>
      </c>
      <c r="C83" s="145">
        <v>111.3</v>
      </c>
      <c r="D83" s="145">
        <f t="shared" si="6"/>
        <v>106.87</v>
      </c>
      <c r="E83" s="145">
        <v>0</v>
      </c>
      <c r="F83" s="145">
        <v>106.87</v>
      </c>
      <c r="G83" s="145">
        <f t="shared" si="7"/>
        <v>4.42999999999999</v>
      </c>
      <c r="H83" s="146">
        <f t="shared" si="8"/>
        <v>-4.42999999999999</v>
      </c>
      <c r="I83" s="106"/>
    </row>
    <row r="84" s="137" customFormat="true" ht="15.75" spans="1:9">
      <c r="A84" s="91">
        <v>76</v>
      </c>
      <c r="B84" s="144" t="s">
        <v>246</v>
      </c>
      <c r="C84" s="145">
        <v>206.5</v>
      </c>
      <c r="D84" s="145">
        <f t="shared" si="6"/>
        <v>0</v>
      </c>
      <c r="E84" s="145">
        <v>0</v>
      </c>
      <c r="F84" s="145">
        <v>0</v>
      </c>
      <c r="G84" s="145">
        <f t="shared" si="7"/>
        <v>206.5</v>
      </c>
      <c r="H84" s="146">
        <f t="shared" si="8"/>
        <v>-206.5</v>
      </c>
      <c r="I84" s="106"/>
    </row>
    <row r="85" s="137" customFormat="true" ht="15.75" spans="1:9">
      <c r="A85" s="91">
        <v>77</v>
      </c>
      <c r="B85" s="144" t="s">
        <v>247</v>
      </c>
      <c r="C85" s="145">
        <v>195.8253</v>
      </c>
      <c r="D85" s="145">
        <f t="shared" si="6"/>
        <v>0</v>
      </c>
      <c r="E85" s="145">
        <v>0</v>
      </c>
      <c r="F85" s="145">
        <v>0</v>
      </c>
      <c r="G85" s="145">
        <f t="shared" si="7"/>
        <v>195.8253</v>
      </c>
      <c r="H85" s="146">
        <f t="shared" si="8"/>
        <v>-195.8253</v>
      </c>
      <c r="I85" s="106"/>
    </row>
    <row r="86" s="137" customFormat="true" ht="15.75" spans="1:9">
      <c r="A86" s="91">
        <v>79</v>
      </c>
      <c r="B86" s="144" t="s">
        <v>248</v>
      </c>
      <c r="C86" s="145">
        <v>829.43</v>
      </c>
      <c r="D86" s="145">
        <f t="shared" ref="D86:D109" si="9">E86+F86</f>
        <v>589.3754</v>
      </c>
      <c r="E86" s="145">
        <v>0</v>
      </c>
      <c r="F86" s="145">
        <v>589.3754</v>
      </c>
      <c r="G86" s="145">
        <f t="shared" ref="G86:G109" si="10">C86-D86</f>
        <v>240.0546</v>
      </c>
      <c r="H86" s="146">
        <f t="shared" ref="H86:H109" si="11">-G86</f>
        <v>-240.0546</v>
      </c>
      <c r="I86" s="106"/>
    </row>
    <row r="87" s="137" customFormat="true" ht="15.75" spans="1:9">
      <c r="A87" s="91">
        <v>80</v>
      </c>
      <c r="B87" s="144" t="s">
        <v>249</v>
      </c>
      <c r="C87" s="145">
        <v>580.7768</v>
      </c>
      <c r="D87" s="145">
        <f t="shared" si="9"/>
        <v>0</v>
      </c>
      <c r="E87" s="145">
        <v>0</v>
      </c>
      <c r="F87" s="145">
        <v>0</v>
      </c>
      <c r="G87" s="145">
        <f t="shared" si="10"/>
        <v>580.7768</v>
      </c>
      <c r="H87" s="146">
        <f t="shared" si="11"/>
        <v>-580.7768</v>
      </c>
      <c r="I87" s="106"/>
    </row>
    <row r="88" s="137" customFormat="true" ht="15.75" spans="1:9">
      <c r="A88" s="91">
        <v>81</v>
      </c>
      <c r="B88" s="144" t="s">
        <v>250</v>
      </c>
      <c r="C88" s="145">
        <v>280.6515</v>
      </c>
      <c r="D88" s="145">
        <f t="shared" si="9"/>
        <v>0</v>
      </c>
      <c r="E88" s="145">
        <v>0</v>
      </c>
      <c r="F88" s="145">
        <v>0</v>
      </c>
      <c r="G88" s="145">
        <f t="shared" si="10"/>
        <v>280.6515</v>
      </c>
      <c r="H88" s="146">
        <f t="shared" si="11"/>
        <v>-280.6515</v>
      </c>
      <c r="I88" s="106"/>
    </row>
    <row r="89" s="137" customFormat="true" ht="15.75" spans="1:9">
      <c r="A89" s="91">
        <v>82</v>
      </c>
      <c r="B89" s="144" t="s">
        <v>251</v>
      </c>
      <c r="C89" s="145">
        <v>261.38</v>
      </c>
      <c r="D89" s="145">
        <f t="shared" si="9"/>
        <v>0</v>
      </c>
      <c r="E89" s="145">
        <v>0</v>
      </c>
      <c r="F89" s="145">
        <v>0</v>
      </c>
      <c r="G89" s="145">
        <f t="shared" si="10"/>
        <v>261.38</v>
      </c>
      <c r="H89" s="146">
        <f t="shared" si="11"/>
        <v>-261.38</v>
      </c>
      <c r="I89" s="106"/>
    </row>
    <row r="90" s="137" customFormat="true" ht="15.75" spans="1:9">
      <c r="A90" s="91">
        <v>83</v>
      </c>
      <c r="B90" s="144" t="s">
        <v>251</v>
      </c>
      <c r="C90" s="145">
        <v>127.64</v>
      </c>
      <c r="D90" s="145">
        <f t="shared" si="9"/>
        <v>62.82</v>
      </c>
      <c r="E90" s="145">
        <v>0</v>
      </c>
      <c r="F90" s="145">
        <v>62.82</v>
      </c>
      <c r="G90" s="145">
        <f t="shared" si="10"/>
        <v>64.82</v>
      </c>
      <c r="H90" s="146">
        <f t="shared" si="11"/>
        <v>-64.82</v>
      </c>
      <c r="I90" s="106"/>
    </row>
    <row r="91" s="137" customFormat="true" ht="15.75" spans="1:9">
      <c r="A91" s="91">
        <v>84</v>
      </c>
      <c r="B91" s="144" t="s">
        <v>252</v>
      </c>
      <c r="C91" s="145">
        <v>366.9915</v>
      </c>
      <c r="D91" s="145">
        <f t="shared" si="9"/>
        <v>56.18135</v>
      </c>
      <c r="E91" s="145">
        <v>1.3325</v>
      </c>
      <c r="F91" s="145">
        <v>54.84885</v>
      </c>
      <c r="G91" s="145">
        <f t="shared" si="10"/>
        <v>310.81015</v>
      </c>
      <c r="H91" s="146">
        <f t="shared" si="11"/>
        <v>-310.81015</v>
      </c>
      <c r="I91" s="106"/>
    </row>
    <row r="92" s="137" customFormat="true" ht="15.75" spans="1:9">
      <c r="A92" s="91">
        <v>85</v>
      </c>
      <c r="B92" s="144" t="s">
        <v>253</v>
      </c>
      <c r="C92" s="145">
        <v>100.442661</v>
      </c>
      <c r="D92" s="145">
        <f t="shared" si="9"/>
        <v>15.06639915</v>
      </c>
      <c r="E92" s="145">
        <v>0</v>
      </c>
      <c r="F92" s="145">
        <v>15.06639915</v>
      </c>
      <c r="G92" s="145">
        <f t="shared" si="10"/>
        <v>85.37626185</v>
      </c>
      <c r="H92" s="146">
        <f t="shared" si="11"/>
        <v>-85.37626185</v>
      </c>
      <c r="I92" s="106"/>
    </row>
    <row r="93" s="137" customFormat="true" ht="15.75" spans="1:9">
      <c r="A93" s="91">
        <v>86</v>
      </c>
      <c r="B93" s="144" t="s">
        <v>250</v>
      </c>
      <c r="C93" s="145">
        <v>117.2197</v>
      </c>
      <c r="D93" s="145">
        <f t="shared" si="9"/>
        <v>17.582955</v>
      </c>
      <c r="E93" s="145">
        <v>0</v>
      </c>
      <c r="F93" s="145">
        <v>17.582955</v>
      </c>
      <c r="G93" s="145">
        <f t="shared" si="10"/>
        <v>99.636745</v>
      </c>
      <c r="H93" s="146">
        <f t="shared" si="11"/>
        <v>-99.636745</v>
      </c>
      <c r="I93" s="106"/>
    </row>
    <row r="94" s="137" customFormat="true" ht="15.75" spans="1:9">
      <c r="A94" s="91">
        <v>87</v>
      </c>
      <c r="B94" s="144" t="s">
        <v>249</v>
      </c>
      <c r="C94" s="145">
        <v>283.9813</v>
      </c>
      <c r="D94" s="145">
        <f t="shared" si="9"/>
        <v>55.2718017</v>
      </c>
      <c r="E94" s="145">
        <v>14.911302</v>
      </c>
      <c r="F94" s="145">
        <v>40.3604997</v>
      </c>
      <c r="G94" s="145">
        <f t="shared" si="10"/>
        <v>228.7094983</v>
      </c>
      <c r="H94" s="146">
        <f t="shared" si="11"/>
        <v>-228.7094983</v>
      </c>
      <c r="I94" s="106"/>
    </row>
    <row r="95" s="137" customFormat="true" ht="15.75" spans="1:9">
      <c r="A95" s="91">
        <v>88</v>
      </c>
      <c r="B95" s="144" t="s">
        <v>254</v>
      </c>
      <c r="C95" s="145">
        <v>512.594</v>
      </c>
      <c r="D95" s="145">
        <f t="shared" si="9"/>
        <v>6</v>
      </c>
      <c r="E95" s="145">
        <v>0</v>
      </c>
      <c r="F95" s="145">
        <v>6</v>
      </c>
      <c r="G95" s="145">
        <f t="shared" si="10"/>
        <v>506.594</v>
      </c>
      <c r="H95" s="146">
        <f t="shared" si="11"/>
        <v>-506.594</v>
      </c>
      <c r="I95" s="106"/>
    </row>
    <row r="96" s="137" customFormat="true" ht="15.75" spans="1:9">
      <c r="A96" s="91">
        <v>89</v>
      </c>
      <c r="B96" s="144" t="s">
        <v>251</v>
      </c>
      <c r="C96" s="145">
        <v>184.6956</v>
      </c>
      <c r="D96" s="145">
        <f t="shared" si="9"/>
        <v>79.177305</v>
      </c>
      <c r="E96" s="145">
        <v>33.965763</v>
      </c>
      <c r="F96" s="145">
        <v>45.211542</v>
      </c>
      <c r="G96" s="145">
        <f t="shared" si="10"/>
        <v>105.518295</v>
      </c>
      <c r="H96" s="146">
        <f t="shared" si="11"/>
        <v>-105.518295</v>
      </c>
      <c r="I96" s="106"/>
    </row>
    <row r="97" s="137" customFormat="true" ht="15.75" spans="1:9">
      <c r="A97" s="91">
        <v>90</v>
      </c>
      <c r="B97" s="144" t="s">
        <v>255</v>
      </c>
      <c r="C97" s="145">
        <v>217.49</v>
      </c>
      <c r="D97" s="145">
        <f t="shared" si="9"/>
        <v>58.782</v>
      </c>
      <c r="E97" s="145">
        <v>38.142</v>
      </c>
      <c r="F97" s="145">
        <v>20.64</v>
      </c>
      <c r="G97" s="145">
        <f t="shared" si="10"/>
        <v>158.708</v>
      </c>
      <c r="H97" s="146">
        <f t="shared" si="11"/>
        <v>-158.708</v>
      </c>
      <c r="I97" s="106"/>
    </row>
    <row r="98" s="137" customFormat="true" ht="15.75" spans="1:9">
      <c r="A98" s="91">
        <v>91</v>
      </c>
      <c r="B98" s="144" t="s">
        <v>250</v>
      </c>
      <c r="C98" s="145">
        <v>110.1475</v>
      </c>
      <c r="D98" s="145">
        <f t="shared" si="9"/>
        <v>0</v>
      </c>
      <c r="E98" s="145">
        <v>0</v>
      </c>
      <c r="F98" s="145">
        <v>0</v>
      </c>
      <c r="G98" s="145">
        <f t="shared" si="10"/>
        <v>110.1475</v>
      </c>
      <c r="H98" s="146">
        <f t="shared" si="11"/>
        <v>-110.1475</v>
      </c>
      <c r="I98" s="106"/>
    </row>
    <row r="99" s="137" customFormat="true" ht="15.75" spans="1:9">
      <c r="A99" s="91">
        <v>92</v>
      </c>
      <c r="B99" s="144" t="s">
        <v>249</v>
      </c>
      <c r="C99" s="145">
        <v>223.0281</v>
      </c>
      <c r="D99" s="145">
        <f t="shared" si="9"/>
        <v>0</v>
      </c>
      <c r="E99" s="145">
        <v>0</v>
      </c>
      <c r="F99" s="145">
        <v>0</v>
      </c>
      <c r="G99" s="145">
        <f t="shared" si="10"/>
        <v>223.0281</v>
      </c>
      <c r="H99" s="146">
        <f t="shared" si="11"/>
        <v>-223.0281</v>
      </c>
      <c r="I99" s="106"/>
    </row>
    <row r="100" s="137" customFormat="true" ht="15.75" spans="1:9">
      <c r="A100" s="91">
        <v>93</v>
      </c>
      <c r="B100" s="144" t="s">
        <v>250</v>
      </c>
      <c r="C100" s="145">
        <v>135.4518</v>
      </c>
      <c r="D100" s="145">
        <f t="shared" si="9"/>
        <v>0</v>
      </c>
      <c r="E100" s="145">
        <v>0</v>
      </c>
      <c r="F100" s="145">
        <v>0</v>
      </c>
      <c r="G100" s="145">
        <f t="shared" si="10"/>
        <v>135.4518</v>
      </c>
      <c r="H100" s="146">
        <f t="shared" si="11"/>
        <v>-135.4518</v>
      </c>
      <c r="I100" s="106"/>
    </row>
    <row r="101" s="137" customFormat="true" ht="15.75" spans="1:9">
      <c r="A101" s="91">
        <v>94</v>
      </c>
      <c r="B101" s="144" t="s">
        <v>249</v>
      </c>
      <c r="C101" s="145">
        <v>291.7219</v>
      </c>
      <c r="D101" s="145">
        <f t="shared" si="9"/>
        <v>0</v>
      </c>
      <c r="E101" s="145">
        <v>0</v>
      </c>
      <c r="F101" s="145">
        <v>0</v>
      </c>
      <c r="G101" s="145">
        <f t="shared" si="10"/>
        <v>291.7219</v>
      </c>
      <c r="H101" s="146">
        <f t="shared" si="11"/>
        <v>-291.7219</v>
      </c>
      <c r="I101" s="106"/>
    </row>
    <row r="102" s="137" customFormat="true" ht="15.75" spans="1:9">
      <c r="A102" s="91">
        <v>95</v>
      </c>
      <c r="B102" s="144" t="s">
        <v>256</v>
      </c>
      <c r="C102" s="145">
        <v>160</v>
      </c>
      <c r="D102" s="145">
        <f t="shared" si="9"/>
        <v>108.126198</v>
      </c>
      <c r="E102" s="145">
        <v>28.126198</v>
      </c>
      <c r="F102" s="145">
        <v>80</v>
      </c>
      <c r="G102" s="145">
        <f t="shared" si="10"/>
        <v>51.873802</v>
      </c>
      <c r="H102" s="146">
        <f t="shared" si="11"/>
        <v>-51.873802</v>
      </c>
      <c r="I102" s="106"/>
    </row>
    <row r="103" s="137" customFormat="true" ht="15.75" spans="1:9">
      <c r="A103" s="91">
        <v>96</v>
      </c>
      <c r="B103" s="144" t="s">
        <v>257</v>
      </c>
      <c r="C103" s="145">
        <v>180</v>
      </c>
      <c r="D103" s="145">
        <f t="shared" si="9"/>
        <v>0</v>
      </c>
      <c r="E103" s="145">
        <v>0</v>
      </c>
      <c r="F103" s="145">
        <v>0</v>
      </c>
      <c r="G103" s="145">
        <f t="shared" si="10"/>
        <v>180</v>
      </c>
      <c r="H103" s="146">
        <f t="shared" si="11"/>
        <v>-180</v>
      </c>
      <c r="I103" s="106"/>
    </row>
    <row r="104" s="137" customFormat="true" ht="15.75" spans="1:9">
      <c r="A104" s="91">
        <v>97</v>
      </c>
      <c r="B104" s="144" t="s">
        <v>258</v>
      </c>
      <c r="C104" s="145">
        <v>168</v>
      </c>
      <c r="D104" s="145">
        <f t="shared" si="9"/>
        <v>20</v>
      </c>
      <c r="E104" s="145">
        <v>0</v>
      </c>
      <c r="F104" s="145">
        <v>20</v>
      </c>
      <c r="G104" s="145">
        <f t="shared" si="10"/>
        <v>148</v>
      </c>
      <c r="H104" s="146">
        <f t="shared" si="11"/>
        <v>-148</v>
      </c>
      <c r="I104" s="106"/>
    </row>
    <row r="105" s="137" customFormat="true" ht="15.75" spans="1:9">
      <c r="A105" s="91">
        <v>98</v>
      </c>
      <c r="B105" s="144" t="s">
        <v>259</v>
      </c>
      <c r="C105" s="145">
        <v>234</v>
      </c>
      <c r="D105" s="145">
        <f t="shared" si="9"/>
        <v>72.084</v>
      </c>
      <c r="E105" s="145">
        <v>0.084</v>
      </c>
      <c r="F105" s="145">
        <v>72</v>
      </c>
      <c r="G105" s="145">
        <f t="shared" si="10"/>
        <v>161.916</v>
      </c>
      <c r="H105" s="146">
        <f t="shared" si="11"/>
        <v>-161.916</v>
      </c>
      <c r="I105" s="106"/>
    </row>
    <row r="106" s="137" customFormat="true" ht="15.75" spans="1:9">
      <c r="A106" s="91">
        <v>99</v>
      </c>
      <c r="B106" s="144" t="s">
        <v>260</v>
      </c>
      <c r="C106" s="145">
        <v>1150.6</v>
      </c>
      <c r="D106" s="145">
        <f t="shared" si="9"/>
        <v>880.2345</v>
      </c>
      <c r="E106" s="145">
        <v>880.2345</v>
      </c>
      <c r="F106" s="145">
        <v>0</v>
      </c>
      <c r="G106" s="145">
        <f t="shared" si="10"/>
        <v>270.3655</v>
      </c>
      <c r="H106" s="146">
        <f t="shared" si="11"/>
        <v>-270.3655</v>
      </c>
      <c r="I106" s="106"/>
    </row>
    <row r="107" s="137" customFormat="true" ht="15.75" spans="1:9">
      <c r="A107" s="91">
        <v>100</v>
      </c>
      <c r="B107" s="144" t="s">
        <v>261</v>
      </c>
      <c r="C107" s="145">
        <v>136.9017</v>
      </c>
      <c r="D107" s="145">
        <f t="shared" si="9"/>
        <v>110</v>
      </c>
      <c r="E107" s="145">
        <v>0</v>
      </c>
      <c r="F107" s="145">
        <v>110</v>
      </c>
      <c r="G107" s="145">
        <f t="shared" si="10"/>
        <v>26.9017</v>
      </c>
      <c r="H107" s="146">
        <f t="shared" si="11"/>
        <v>-26.9017</v>
      </c>
      <c r="I107" s="106"/>
    </row>
    <row r="108" s="137" customFormat="true" ht="15.75" spans="1:9">
      <c r="A108" s="91">
        <v>101</v>
      </c>
      <c r="B108" s="144" t="s">
        <v>262</v>
      </c>
      <c r="C108" s="145">
        <v>678.153</v>
      </c>
      <c r="D108" s="145">
        <f t="shared" si="9"/>
        <v>70</v>
      </c>
      <c r="E108" s="145">
        <v>0</v>
      </c>
      <c r="F108" s="145">
        <v>70</v>
      </c>
      <c r="G108" s="145">
        <f t="shared" si="10"/>
        <v>608.153</v>
      </c>
      <c r="H108" s="146">
        <f t="shared" si="11"/>
        <v>-608.153</v>
      </c>
      <c r="I108" s="106"/>
    </row>
    <row r="109" s="137" customFormat="true" ht="15.75" spans="1:9">
      <c r="A109" s="91">
        <v>102</v>
      </c>
      <c r="B109" s="144" t="s">
        <v>263</v>
      </c>
      <c r="C109" s="145">
        <v>94272</v>
      </c>
      <c r="D109" s="145">
        <f t="shared" si="9"/>
        <v>114.72</v>
      </c>
      <c r="E109" s="145">
        <v>0</v>
      </c>
      <c r="F109" s="145">
        <v>114.72</v>
      </c>
      <c r="G109" s="145">
        <f t="shared" si="10"/>
        <v>94157.28</v>
      </c>
      <c r="H109" s="146">
        <f t="shared" si="11"/>
        <v>-94157.28</v>
      </c>
      <c r="I109" s="106"/>
    </row>
    <row r="110" s="68" customFormat="true" ht="15.75" spans="1:9">
      <c r="A110" s="87"/>
      <c r="B110" s="90" t="s">
        <v>264</v>
      </c>
      <c r="C110" s="143">
        <f t="shared" ref="C110:H110" si="12">SUM(C111:C158)</f>
        <v>139385</v>
      </c>
      <c r="D110" s="143">
        <f t="shared" si="12"/>
        <v>44888</v>
      </c>
      <c r="E110" s="143">
        <f t="shared" si="12"/>
        <v>33762</v>
      </c>
      <c r="F110" s="143">
        <f t="shared" si="12"/>
        <v>11126</v>
      </c>
      <c r="G110" s="143">
        <f t="shared" si="12"/>
        <v>94497</v>
      </c>
      <c r="H110" s="143">
        <f t="shared" si="12"/>
        <v>-94497</v>
      </c>
      <c r="I110" s="103"/>
    </row>
    <row r="111" s="138" customFormat="true" ht="15.75" spans="1:10">
      <c r="A111" s="147">
        <v>1</v>
      </c>
      <c r="B111" s="144" t="s">
        <v>265</v>
      </c>
      <c r="C111" s="145">
        <v>2000</v>
      </c>
      <c r="D111" s="145">
        <f t="shared" ref="D111:D134" si="13">E111+F111</f>
        <v>851</v>
      </c>
      <c r="E111" s="145">
        <v>849</v>
      </c>
      <c r="F111" s="145">
        <v>2</v>
      </c>
      <c r="G111" s="145">
        <f>C111-D111</f>
        <v>1149</v>
      </c>
      <c r="H111" s="145">
        <v>-1149</v>
      </c>
      <c r="I111" s="110"/>
      <c r="J111" s="148"/>
    </row>
    <row r="112" s="138" customFormat="true" ht="15.75" spans="1:10">
      <c r="A112" s="147">
        <v>2</v>
      </c>
      <c r="B112" s="144" t="s">
        <v>266</v>
      </c>
      <c r="C112" s="145">
        <v>11959</v>
      </c>
      <c r="D112" s="145">
        <f t="shared" si="13"/>
        <v>3360</v>
      </c>
      <c r="E112" s="145">
        <f>1660+1700</f>
        <v>3360</v>
      </c>
      <c r="F112" s="145"/>
      <c r="G112" s="145">
        <f>C112-D112</f>
        <v>8599</v>
      </c>
      <c r="H112" s="145">
        <f t="shared" ref="H111:H118" si="14">-G112</f>
        <v>-8599</v>
      </c>
      <c r="I112" s="110"/>
      <c r="J112" s="148"/>
    </row>
    <row r="113" s="138" customFormat="true" ht="15.75" spans="1:10">
      <c r="A113" s="147">
        <v>3</v>
      </c>
      <c r="B113" s="144" t="s">
        <v>266</v>
      </c>
      <c r="C113" s="145">
        <v>5173</v>
      </c>
      <c r="D113" s="145">
        <f t="shared" si="13"/>
        <v>0</v>
      </c>
      <c r="E113" s="145"/>
      <c r="F113" s="145"/>
      <c r="G113" s="145">
        <v>5173</v>
      </c>
      <c r="H113" s="145">
        <f>-5173</f>
        <v>-5173</v>
      </c>
      <c r="I113" s="110"/>
      <c r="J113" s="148"/>
    </row>
    <row r="114" s="138" customFormat="true" ht="15.75" spans="1:10">
      <c r="A114" s="147">
        <v>4</v>
      </c>
      <c r="B114" s="144" t="s">
        <v>267</v>
      </c>
      <c r="C114" s="145">
        <v>10000</v>
      </c>
      <c r="D114" s="145">
        <f t="shared" si="13"/>
        <v>6326</v>
      </c>
      <c r="E114" s="145">
        <f>26+6300</f>
        <v>6326</v>
      </c>
      <c r="F114" s="145"/>
      <c r="G114" s="145">
        <v>3674</v>
      </c>
      <c r="H114" s="145">
        <f>-9974+6300</f>
        <v>-3674</v>
      </c>
      <c r="I114" s="110"/>
      <c r="J114" s="148"/>
    </row>
    <row r="115" s="138" customFormat="true" ht="15.75" spans="1:10">
      <c r="A115" s="147">
        <v>5</v>
      </c>
      <c r="B115" s="144" t="s">
        <v>268</v>
      </c>
      <c r="C115" s="145">
        <v>15000</v>
      </c>
      <c r="D115" s="145">
        <f t="shared" si="13"/>
        <v>375</v>
      </c>
      <c r="E115" s="145">
        <v>375</v>
      </c>
      <c r="F115" s="145"/>
      <c r="G115" s="145">
        <f t="shared" ref="G115:G158" si="15">C115-D115</f>
        <v>14625</v>
      </c>
      <c r="H115" s="145">
        <f t="shared" si="14"/>
        <v>-14625</v>
      </c>
      <c r="I115" s="110"/>
      <c r="J115" s="148"/>
    </row>
    <row r="116" s="138" customFormat="true" ht="15.75" spans="1:10">
      <c r="A116" s="147">
        <v>6</v>
      </c>
      <c r="B116" s="144" t="s">
        <v>269</v>
      </c>
      <c r="C116" s="145">
        <v>27000</v>
      </c>
      <c r="D116" s="145">
        <f t="shared" si="13"/>
        <v>8028</v>
      </c>
      <c r="E116" s="145">
        <v>8028</v>
      </c>
      <c r="F116" s="145"/>
      <c r="G116" s="145">
        <f t="shared" si="15"/>
        <v>18972</v>
      </c>
      <c r="H116" s="145">
        <f t="shared" si="14"/>
        <v>-18972</v>
      </c>
      <c r="I116" s="110"/>
      <c r="J116" s="148"/>
    </row>
    <row r="117" s="138" customFormat="true" ht="31.5" spans="1:10">
      <c r="A117" s="147">
        <v>7</v>
      </c>
      <c r="B117" s="144" t="s">
        <v>270</v>
      </c>
      <c r="C117" s="145">
        <v>500</v>
      </c>
      <c r="D117" s="145">
        <f t="shared" si="13"/>
        <v>400</v>
      </c>
      <c r="E117" s="145">
        <v>400</v>
      </c>
      <c r="F117" s="145">
        <v>0</v>
      </c>
      <c r="G117" s="145">
        <f t="shared" si="15"/>
        <v>100</v>
      </c>
      <c r="H117" s="145">
        <f t="shared" si="14"/>
        <v>-100</v>
      </c>
      <c r="I117" s="110"/>
      <c r="J117" s="148"/>
    </row>
    <row r="118" s="138" customFormat="true" ht="31.5" spans="1:10">
      <c r="A118" s="147">
        <v>8</v>
      </c>
      <c r="B118" s="144" t="s">
        <v>271</v>
      </c>
      <c r="C118" s="145">
        <v>11520</v>
      </c>
      <c r="D118" s="145">
        <f t="shared" si="13"/>
        <v>4620</v>
      </c>
      <c r="E118" s="145">
        <v>3000</v>
      </c>
      <c r="F118" s="145">
        <v>1620</v>
      </c>
      <c r="G118" s="145">
        <f t="shared" si="15"/>
        <v>6900</v>
      </c>
      <c r="H118" s="145">
        <f t="shared" si="14"/>
        <v>-6900</v>
      </c>
      <c r="I118" s="110"/>
      <c r="J118" s="148"/>
    </row>
    <row r="119" s="138" customFormat="true" ht="15.75" spans="1:10">
      <c r="A119" s="147">
        <v>9</v>
      </c>
      <c r="B119" s="144" t="s">
        <v>272</v>
      </c>
      <c r="C119" s="145">
        <v>2000</v>
      </c>
      <c r="D119" s="145">
        <f t="shared" si="13"/>
        <v>0</v>
      </c>
      <c r="E119" s="145"/>
      <c r="F119" s="145"/>
      <c r="G119" s="145">
        <f t="shared" si="15"/>
        <v>2000</v>
      </c>
      <c r="H119" s="145">
        <v>-2000</v>
      </c>
      <c r="I119" s="110"/>
      <c r="J119" s="148"/>
    </row>
    <row r="120" s="138" customFormat="true" ht="15.75" spans="1:10">
      <c r="A120" s="147">
        <v>10</v>
      </c>
      <c r="B120" s="144" t="s">
        <v>273</v>
      </c>
      <c r="C120" s="145">
        <v>1300</v>
      </c>
      <c r="D120" s="145">
        <f t="shared" si="13"/>
        <v>0</v>
      </c>
      <c r="E120" s="145"/>
      <c r="F120" s="145">
        <v>0</v>
      </c>
      <c r="G120" s="145">
        <f t="shared" si="15"/>
        <v>1300</v>
      </c>
      <c r="H120" s="145">
        <v>-1300</v>
      </c>
      <c r="I120" s="110"/>
      <c r="J120" s="148"/>
    </row>
    <row r="121" s="138" customFormat="true" ht="15.75" spans="1:10">
      <c r="A121" s="147">
        <v>11</v>
      </c>
      <c r="B121" s="144" t="s">
        <v>274</v>
      </c>
      <c r="C121" s="145">
        <v>2500</v>
      </c>
      <c r="D121" s="145">
        <f t="shared" si="13"/>
        <v>372</v>
      </c>
      <c r="E121" s="145">
        <f>268+104</f>
        <v>372</v>
      </c>
      <c r="F121" s="145"/>
      <c r="G121" s="145">
        <f t="shared" si="15"/>
        <v>2128</v>
      </c>
      <c r="H121" s="145">
        <v>-2128</v>
      </c>
      <c r="I121" s="110"/>
      <c r="J121" s="148"/>
    </row>
    <row r="122" s="138" customFormat="true" ht="15.75" spans="1:10">
      <c r="A122" s="147">
        <v>12</v>
      </c>
      <c r="B122" s="144" t="s">
        <v>275</v>
      </c>
      <c r="C122" s="145">
        <v>1000</v>
      </c>
      <c r="D122" s="145">
        <f t="shared" si="13"/>
        <v>0</v>
      </c>
      <c r="E122" s="145">
        <v>0</v>
      </c>
      <c r="F122" s="145"/>
      <c r="G122" s="145">
        <f t="shared" si="15"/>
        <v>1000</v>
      </c>
      <c r="H122" s="145">
        <v>-1000</v>
      </c>
      <c r="I122" s="110"/>
      <c r="J122" s="148"/>
    </row>
    <row r="123" s="138" customFormat="true" ht="15.75" spans="1:10">
      <c r="A123" s="147">
        <v>13</v>
      </c>
      <c r="B123" s="144" t="s">
        <v>276</v>
      </c>
      <c r="C123" s="145">
        <v>1600</v>
      </c>
      <c r="D123" s="145">
        <f t="shared" si="13"/>
        <v>600</v>
      </c>
      <c r="E123" s="145"/>
      <c r="F123" s="145">
        <v>600</v>
      </c>
      <c r="G123" s="145">
        <f t="shared" si="15"/>
        <v>1000</v>
      </c>
      <c r="H123" s="145">
        <v>-1000</v>
      </c>
      <c r="I123" s="110"/>
      <c r="J123" s="148"/>
    </row>
    <row r="124" s="138" customFormat="true" ht="15.75" spans="1:10">
      <c r="A124" s="147">
        <v>14</v>
      </c>
      <c r="B124" s="144" t="s">
        <v>277</v>
      </c>
      <c r="C124" s="145">
        <v>3500</v>
      </c>
      <c r="D124" s="145">
        <f t="shared" si="13"/>
        <v>2500</v>
      </c>
      <c r="E124" s="145"/>
      <c r="F124" s="145">
        <v>2500</v>
      </c>
      <c r="G124" s="145">
        <f t="shared" si="15"/>
        <v>1000</v>
      </c>
      <c r="H124" s="145">
        <v>-1000</v>
      </c>
      <c r="I124" s="110"/>
      <c r="J124" s="148"/>
    </row>
    <row r="125" s="138" customFormat="true" ht="15.75" spans="1:10">
      <c r="A125" s="147">
        <v>15</v>
      </c>
      <c r="B125" s="144" t="s">
        <v>278</v>
      </c>
      <c r="C125" s="145">
        <v>2600</v>
      </c>
      <c r="D125" s="145">
        <f t="shared" si="13"/>
        <v>400</v>
      </c>
      <c r="E125" s="145"/>
      <c r="F125" s="145">
        <v>400</v>
      </c>
      <c r="G125" s="145">
        <f t="shared" si="15"/>
        <v>2200</v>
      </c>
      <c r="H125" s="145">
        <f t="shared" ref="H125:H158" si="16">-G125</f>
        <v>-2200</v>
      </c>
      <c r="I125" s="110"/>
      <c r="J125" s="148"/>
    </row>
    <row r="126" s="138" customFormat="true" ht="15.75" spans="1:10">
      <c r="A126" s="147">
        <v>16</v>
      </c>
      <c r="B126" s="144" t="s">
        <v>279</v>
      </c>
      <c r="C126" s="145">
        <v>4500</v>
      </c>
      <c r="D126" s="145">
        <f t="shared" si="13"/>
        <v>2242</v>
      </c>
      <c r="E126" s="145">
        <v>2242</v>
      </c>
      <c r="F126" s="145"/>
      <c r="G126" s="145">
        <f t="shared" si="15"/>
        <v>2258</v>
      </c>
      <c r="H126" s="145">
        <f t="shared" si="16"/>
        <v>-2258</v>
      </c>
      <c r="I126" s="110"/>
      <c r="J126" s="148"/>
    </row>
    <row r="127" s="138" customFormat="true" ht="15.75" spans="1:10">
      <c r="A127" s="147">
        <v>17</v>
      </c>
      <c r="B127" s="144" t="s">
        <v>280</v>
      </c>
      <c r="C127" s="145">
        <v>9350</v>
      </c>
      <c r="D127" s="145">
        <f t="shared" si="13"/>
        <v>0</v>
      </c>
      <c r="E127" s="145">
        <v>0</v>
      </c>
      <c r="F127" s="145"/>
      <c r="G127" s="145">
        <f t="shared" si="15"/>
        <v>9350</v>
      </c>
      <c r="H127" s="145">
        <f t="shared" si="16"/>
        <v>-9350</v>
      </c>
      <c r="I127" s="110"/>
      <c r="J127" s="148"/>
    </row>
    <row r="128" s="138" customFormat="true" ht="15.75" spans="1:10">
      <c r="A128" s="147">
        <v>18</v>
      </c>
      <c r="B128" s="144" t="s">
        <v>273</v>
      </c>
      <c r="C128" s="145">
        <v>1465</v>
      </c>
      <c r="D128" s="145">
        <f t="shared" si="13"/>
        <v>433</v>
      </c>
      <c r="E128" s="145">
        <v>323</v>
      </c>
      <c r="F128" s="145">
        <v>110</v>
      </c>
      <c r="G128" s="145">
        <f t="shared" si="15"/>
        <v>1032</v>
      </c>
      <c r="H128" s="145">
        <f t="shared" si="16"/>
        <v>-1032</v>
      </c>
      <c r="I128" s="110"/>
      <c r="J128" s="148"/>
    </row>
    <row r="129" s="138" customFormat="true" ht="31.5" spans="1:10">
      <c r="A129" s="147">
        <v>19</v>
      </c>
      <c r="B129" s="144" t="s">
        <v>270</v>
      </c>
      <c r="C129" s="145">
        <v>400</v>
      </c>
      <c r="D129" s="145">
        <f t="shared" si="13"/>
        <v>0</v>
      </c>
      <c r="E129" s="145"/>
      <c r="F129" s="145">
        <v>0</v>
      </c>
      <c r="G129" s="145">
        <f t="shared" si="15"/>
        <v>400</v>
      </c>
      <c r="H129" s="145">
        <f t="shared" si="16"/>
        <v>-400</v>
      </c>
      <c r="I129" s="110"/>
      <c r="J129" s="148"/>
    </row>
    <row r="130" s="138" customFormat="true" ht="15.75" spans="1:10">
      <c r="A130" s="147">
        <v>20</v>
      </c>
      <c r="B130" s="144" t="s">
        <v>281</v>
      </c>
      <c r="C130" s="145">
        <v>4300</v>
      </c>
      <c r="D130" s="145">
        <f t="shared" si="13"/>
        <v>2532</v>
      </c>
      <c r="E130" s="145">
        <v>2232</v>
      </c>
      <c r="F130" s="145">
        <v>300</v>
      </c>
      <c r="G130" s="145">
        <f t="shared" si="15"/>
        <v>1768</v>
      </c>
      <c r="H130" s="145">
        <f t="shared" si="16"/>
        <v>-1768</v>
      </c>
      <c r="I130" s="110"/>
      <c r="J130" s="148"/>
    </row>
    <row r="131" s="138" customFormat="true" ht="15.75" spans="1:10">
      <c r="A131" s="147">
        <v>21</v>
      </c>
      <c r="B131" s="144" t="s">
        <v>282</v>
      </c>
      <c r="C131" s="145">
        <v>2276</v>
      </c>
      <c r="D131" s="145">
        <f t="shared" si="13"/>
        <v>1076</v>
      </c>
      <c r="E131" s="145">
        <v>740</v>
      </c>
      <c r="F131" s="145">
        <v>336</v>
      </c>
      <c r="G131" s="145">
        <f t="shared" si="15"/>
        <v>1200</v>
      </c>
      <c r="H131" s="145">
        <f t="shared" si="16"/>
        <v>-1200</v>
      </c>
      <c r="I131" s="110"/>
      <c r="J131" s="148"/>
    </row>
    <row r="132" s="138" customFormat="true" ht="15.75" spans="1:10">
      <c r="A132" s="147">
        <v>22</v>
      </c>
      <c r="B132" s="144" t="s">
        <v>283</v>
      </c>
      <c r="C132" s="145">
        <v>800</v>
      </c>
      <c r="D132" s="145">
        <f t="shared" si="13"/>
        <v>160</v>
      </c>
      <c r="E132" s="145">
        <v>115</v>
      </c>
      <c r="F132" s="145">
        <v>45</v>
      </c>
      <c r="G132" s="145">
        <f t="shared" si="15"/>
        <v>640</v>
      </c>
      <c r="H132" s="145">
        <f t="shared" si="16"/>
        <v>-640</v>
      </c>
      <c r="I132" s="110"/>
      <c r="J132" s="148"/>
    </row>
    <row r="133" s="138" customFormat="true" ht="15.75" spans="1:10">
      <c r="A133" s="147">
        <v>23</v>
      </c>
      <c r="B133" s="144" t="s">
        <v>284</v>
      </c>
      <c r="C133" s="145">
        <v>900</v>
      </c>
      <c r="D133" s="145">
        <f t="shared" si="13"/>
        <v>483</v>
      </c>
      <c r="E133" s="145">
        <v>366</v>
      </c>
      <c r="F133" s="145">
        <v>117</v>
      </c>
      <c r="G133" s="145">
        <f t="shared" si="15"/>
        <v>417</v>
      </c>
      <c r="H133" s="145">
        <f t="shared" si="16"/>
        <v>-417</v>
      </c>
      <c r="I133" s="110"/>
      <c r="J133" s="148"/>
    </row>
    <row r="134" s="138" customFormat="true" ht="31.5" spans="1:10">
      <c r="A134" s="147">
        <v>24</v>
      </c>
      <c r="B134" s="144" t="s">
        <v>285</v>
      </c>
      <c r="C134" s="145">
        <v>480</v>
      </c>
      <c r="D134" s="145">
        <f t="shared" si="13"/>
        <v>0</v>
      </c>
      <c r="E134" s="145"/>
      <c r="F134" s="145"/>
      <c r="G134" s="145">
        <f t="shared" si="15"/>
        <v>480</v>
      </c>
      <c r="H134" s="145">
        <f t="shared" si="16"/>
        <v>-480</v>
      </c>
      <c r="I134" s="110"/>
      <c r="J134" s="148"/>
    </row>
    <row r="135" s="138" customFormat="true" ht="15.75" spans="1:10">
      <c r="A135" s="147">
        <v>25</v>
      </c>
      <c r="B135" s="144" t="s">
        <v>286</v>
      </c>
      <c r="C135" s="145">
        <v>864</v>
      </c>
      <c r="D135" s="145"/>
      <c r="E135" s="145">
        <v>0</v>
      </c>
      <c r="F135" s="145">
        <v>0</v>
      </c>
      <c r="G135" s="145">
        <f t="shared" si="15"/>
        <v>864</v>
      </c>
      <c r="H135" s="145">
        <f t="shared" si="16"/>
        <v>-864</v>
      </c>
      <c r="I135" s="110"/>
      <c r="J135" s="148"/>
    </row>
    <row r="136" s="138" customFormat="true" ht="15.75" spans="1:10">
      <c r="A136" s="147">
        <v>26</v>
      </c>
      <c r="B136" s="144" t="s">
        <v>287</v>
      </c>
      <c r="C136" s="145">
        <v>263</v>
      </c>
      <c r="D136" s="145"/>
      <c r="E136" s="145">
        <v>0</v>
      </c>
      <c r="F136" s="145">
        <v>0</v>
      </c>
      <c r="G136" s="145">
        <f t="shared" si="15"/>
        <v>263</v>
      </c>
      <c r="H136" s="145">
        <f t="shared" si="16"/>
        <v>-263</v>
      </c>
      <c r="I136" s="110"/>
      <c r="J136" s="148"/>
    </row>
    <row r="137" s="138" customFormat="true" ht="15.75" spans="1:10">
      <c r="A137" s="147">
        <v>27</v>
      </c>
      <c r="B137" s="144" t="s">
        <v>274</v>
      </c>
      <c r="C137" s="145">
        <v>313</v>
      </c>
      <c r="D137" s="145">
        <f t="shared" ref="D137:D158" si="17">E137+F137</f>
        <v>96</v>
      </c>
      <c r="E137" s="145">
        <v>0</v>
      </c>
      <c r="F137" s="145">
        <v>96</v>
      </c>
      <c r="G137" s="145">
        <f t="shared" si="15"/>
        <v>217</v>
      </c>
      <c r="H137" s="145">
        <f t="shared" si="16"/>
        <v>-217</v>
      </c>
      <c r="I137" s="110"/>
      <c r="J137" s="148"/>
    </row>
    <row r="138" s="138" customFormat="true" ht="15.75" spans="1:10">
      <c r="A138" s="147">
        <v>28</v>
      </c>
      <c r="B138" s="144" t="s">
        <v>276</v>
      </c>
      <c r="C138" s="145">
        <v>450</v>
      </c>
      <c r="D138" s="145">
        <f t="shared" si="17"/>
        <v>0</v>
      </c>
      <c r="E138" s="145"/>
      <c r="F138" s="145"/>
      <c r="G138" s="145">
        <f t="shared" si="15"/>
        <v>450</v>
      </c>
      <c r="H138" s="145">
        <f t="shared" si="16"/>
        <v>-450</v>
      </c>
      <c r="I138" s="110"/>
      <c r="J138" s="148"/>
    </row>
    <row r="139" s="138" customFormat="true" ht="15.75" spans="1:10">
      <c r="A139" s="147">
        <v>29</v>
      </c>
      <c r="B139" s="144" t="s">
        <v>288</v>
      </c>
      <c r="C139" s="145">
        <v>400</v>
      </c>
      <c r="D139" s="145">
        <f t="shared" si="17"/>
        <v>200</v>
      </c>
      <c r="E139" s="145">
        <v>200</v>
      </c>
      <c r="F139" s="145"/>
      <c r="G139" s="145">
        <f t="shared" si="15"/>
        <v>200</v>
      </c>
      <c r="H139" s="145">
        <f t="shared" si="16"/>
        <v>-200</v>
      </c>
      <c r="I139" s="110"/>
      <c r="J139" s="148"/>
    </row>
    <row r="140" s="138" customFormat="true" ht="15.75" spans="1:10">
      <c r="A140" s="147">
        <v>30</v>
      </c>
      <c r="B140" s="144" t="s">
        <v>289</v>
      </c>
      <c r="C140" s="145">
        <v>397</v>
      </c>
      <c r="D140" s="145">
        <f t="shared" si="17"/>
        <v>0</v>
      </c>
      <c r="E140" s="145"/>
      <c r="F140" s="145"/>
      <c r="G140" s="145">
        <f t="shared" si="15"/>
        <v>397</v>
      </c>
      <c r="H140" s="145">
        <f t="shared" si="16"/>
        <v>-397</v>
      </c>
      <c r="I140" s="110"/>
      <c r="J140" s="148"/>
    </row>
    <row r="141" s="138" customFormat="true" ht="15.75" spans="1:10">
      <c r="A141" s="147">
        <v>31</v>
      </c>
      <c r="B141" s="144" t="s">
        <v>290</v>
      </c>
      <c r="C141" s="145">
        <v>198</v>
      </c>
      <c r="D141" s="145">
        <f t="shared" si="17"/>
        <v>98</v>
      </c>
      <c r="E141" s="145"/>
      <c r="F141" s="145">
        <v>98</v>
      </c>
      <c r="G141" s="145">
        <f t="shared" si="15"/>
        <v>100</v>
      </c>
      <c r="H141" s="145">
        <f t="shared" si="16"/>
        <v>-100</v>
      </c>
      <c r="I141" s="110"/>
      <c r="J141" s="148"/>
    </row>
    <row r="142" s="138" customFormat="true" ht="15.75" spans="1:10">
      <c r="A142" s="147">
        <v>32</v>
      </c>
      <c r="B142" s="144" t="s">
        <v>291</v>
      </c>
      <c r="C142" s="145">
        <v>347</v>
      </c>
      <c r="D142" s="145">
        <f t="shared" si="17"/>
        <v>174</v>
      </c>
      <c r="E142" s="145">
        <v>174</v>
      </c>
      <c r="F142" s="145"/>
      <c r="G142" s="145">
        <f t="shared" si="15"/>
        <v>173</v>
      </c>
      <c r="H142" s="145">
        <f t="shared" si="16"/>
        <v>-173</v>
      </c>
      <c r="I142" s="110"/>
      <c r="J142" s="148"/>
    </row>
    <row r="143" s="138" customFormat="true" ht="15.75" spans="1:10">
      <c r="A143" s="147">
        <v>33</v>
      </c>
      <c r="B143" s="144" t="s">
        <v>292</v>
      </c>
      <c r="C143" s="145">
        <v>244</v>
      </c>
      <c r="D143" s="145">
        <f t="shared" si="17"/>
        <v>2</v>
      </c>
      <c r="E143" s="145">
        <v>2</v>
      </c>
      <c r="F143" s="145"/>
      <c r="G143" s="145">
        <f t="shared" si="15"/>
        <v>242</v>
      </c>
      <c r="H143" s="145">
        <f t="shared" si="16"/>
        <v>-242</v>
      </c>
      <c r="I143" s="110"/>
      <c r="J143" s="148"/>
    </row>
    <row r="144" s="138" customFormat="true" ht="15.75" spans="1:10">
      <c r="A144" s="147">
        <v>34</v>
      </c>
      <c r="B144" s="144" t="s">
        <v>293</v>
      </c>
      <c r="C144" s="145">
        <v>500</v>
      </c>
      <c r="D144" s="145">
        <f t="shared" si="17"/>
        <v>203</v>
      </c>
      <c r="E144" s="145">
        <v>130</v>
      </c>
      <c r="F144" s="145">
        <v>73</v>
      </c>
      <c r="G144" s="145">
        <f t="shared" si="15"/>
        <v>297</v>
      </c>
      <c r="H144" s="145">
        <f t="shared" si="16"/>
        <v>-297</v>
      </c>
      <c r="I144" s="110"/>
      <c r="J144" s="148"/>
    </row>
    <row r="145" s="70" customFormat="true" ht="15.75" spans="1:9">
      <c r="A145" s="147">
        <v>35</v>
      </c>
      <c r="B145" s="144" t="s">
        <v>294</v>
      </c>
      <c r="C145" s="145">
        <v>480</v>
      </c>
      <c r="D145" s="145">
        <f t="shared" si="17"/>
        <v>0</v>
      </c>
      <c r="E145" s="145">
        <v>0</v>
      </c>
      <c r="F145" s="145">
        <v>0</v>
      </c>
      <c r="G145" s="145">
        <f t="shared" si="15"/>
        <v>480</v>
      </c>
      <c r="H145" s="145">
        <f t="shared" si="16"/>
        <v>-480</v>
      </c>
      <c r="I145" s="150"/>
    </row>
    <row r="146" s="70" customFormat="true" ht="15.75" spans="1:9">
      <c r="A146" s="147">
        <v>36</v>
      </c>
      <c r="B146" s="144" t="s">
        <v>295</v>
      </c>
      <c r="C146" s="145">
        <v>5200</v>
      </c>
      <c r="D146" s="145">
        <f t="shared" si="17"/>
        <v>4765</v>
      </c>
      <c r="E146" s="145">
        <v>2522</v>
      </c>
      <c r="F146" s="145">
        <v>2243</v>
      </c>
      <c r="G146" s="145">
        <f t="shared" si="15"/>
        <v>435</v>
      </c>
      <c r="H146" s="145">
        <f t="shared" si="16"/>
        <v>-435</v>
      </c>
      <c r="I146" s="150"/>
    </row>
    <row r="147" s="70" customFormat="true" ht="15.75" spans="1:9">
      <c r="A147" s="147">
        <v>37</v>
      </c>
      <c r="B147" s="144" t="s">
        <v>293</v>
      </c>
      <c r="C147" s="145">
        <v>396</v>
      </c>
      <c r="D147" s="145">
        <f t="shared" si="17"/>
        <v>171</v>
      </c>
      <c r="E147" s="145">
        <v>131</v>
      </c>
      <c r="F147" s="145">
        <v>40</v>
      </c>
      <c r="G147" s="145">
        <f t="shared" si="15"/>
        <v>225</v>
      </c>
      <c r="H147" s="145">
        <f t="shared" si="16"/>
        <v>-225</v>
      </c>
      <c r="I147" s="150"/>
    </row>
    <row r="148" s="70" customFormat="true" ht="15.75" spans="1:9">
      <c r="A148" s="147">
        <v>38</v>
      </c>
      <c r="B148" s="144" t="s">
        <v>296</v>
      </c>
      <c r="C148" s="145">
        <v>165</v>
      </c>
      <c r="D148" s="145">
        <f t="shared" si="17"/>
        <v>35</v>
      </c>
      <c r="E148" s="145">
        <v>35</v>
      </c>
      <c r="F148" s="145"/>
      <c r="G148" s="145">
        <f t="shared" si="15"/>
        <v>130</v>
      </c>
      <c r="H148" s="145">
        <f t="shared" si="16"/>
        <v>-130</v>
      </c>
      <c r="I148" s="150"/>
    </row>
    <row r="149" s="70" customFormat="true" ht="15.75" spans="1:9">
      <c r="A149" s="147">
        <v>39</v>
      </c>
      <c r="B149" s="144" t="s">
        <v>277</v>
      </c>
      <c r="C149" s="145">
        <v>1832</v>
      </c>
      <c r="D149" s="145">
        <f t="shared" si="17"/>
        <v>1700</v>
      </c>
      <c r="E149" s="145"/>
      <c r="F149" s="145">
        <v>1700</v>
      </c>
      <c r="G149" s="145">
        <f t="shared" si="15"/>
        <v>132</v>
      </c>
      <c r="H149" s="145">
        <f t="shared" si="16"/>
        <v>-132</v>
      </c>
      <c r="I149" s="150"/>
    </row>
    <row r="150" s="70" customFormat="true" ht="15.75" spans="1:9">
      <c r="A150" s="147">
        <v>40</v>
      </c>
      <c r="B150" s="144" t="s">
        <v>297</v>
      </c>
      <c r="C150" s="145">
        <v>534</v>
      </c>
      <c r="D150" s="145">
        <f t="shared" si="17"/>
        <v>0</v>
      </c>
      <c r="E150" s="145"/>
      <c r="F150" s="145"/>
      <c r="G150" s="145">
        <f t="shared" si="15"/>
        <v>534</v>
      </c>
      <c r="H150" s="145">
        <f t="shared" si="16"/>
        <v>-534</v>
      </c>
      <c r="I150" s="150"/>
    </row>
    <row r="151" s="70" customFormat="true" ht="15.75" spans="1:9">
      <c r="A151" s="147">
        <v>41</v>
      </c>
      <c r="B151" s="144" t="s">
        <v>298</v>
      </c>
      <c r="C151" s="145">
        <v>187</v>
      </c>
      <c r="D151" s="145">
        <f t="shared" si="17"/>
        <v>0</v>
      </c>
      <c r="E151" s="145"/>
      <c r="F151" s="145"/>
      <c r="G151" s="145">
        <f t="shared" si="15"/>
        <v>187</v>
      </c>
      <c r="H151" s="145">
        <f t="shared" si="16"/>
        <v>-187</v>
      </c>
      <c r="I151" s="150"/>
    </row>
    <row r="152" s="70" customFormat="true" ht="15.75" spans="1:9">
      <c r="A152" s="147">
        <v>42</v>
      </c>
      <c r="B152" s="144" t="s">
        <v>299</v>
      </c>
      <c r="C152" s="145">
        <v>103</v>
      </c>
      <c r="D152" s="145">
        <f t="shared" si="17"/>
        <v>0</v>
      </c>
      <c r="E152" s="145"/>
      <c r="F152" s="145"/>
      <c r="G152" s="145">
        <f t="shared" si="15"/>
        <v>103</v>
      </c>
      <c r="H152" s="145">
        <f t="shared" si="16"/>
        <v>-103</v>
      </c>
      <c r="I152" s="150"/>
    </row>
    <row r="153" s="70" customFormat="true" ht="15.75" spans="1:9">
      <c r="A153" s="147">
        <v>43</v>
      </c>
      <c r="B153" s="144" t="s">
        <v>300</v>
      </c>
      <c r="C153" s="145">
        <v>300</v>
      </c>
      <c r="D153" s="145">
        <f t="shared" si="17"/>
        <v>0</v>
      </c>
      <c r="E153" s="145"/>
      <c r="F153" s="145">
        <v>0</v>
      </c>
      <c r="G153" s="145">
        <f t="shared" si="15"/>
        <v>300</v>
      </c>
      <c r="H153" s="145">
        <f t="shared" si="16"/>
        <v>-300</v>
      </c>
      <c r="I153" s="150"/>
    </row>
    <row r="154" s="70" customFormat="true" ht="15.75" spans="1:9">
      <c r="A154" s="147">
        <v>44</v>
      </c>
      <c r="B154" s="144" t="s">
        <v>275</v>
      </c>
      <c r="C154" s="145">
        <v>1300</v>
      </c>
      <c r="D154" s="145">
        <f t="shared" si="17"/>
        <v>488</v>
      </c>
      <c r="E154" s="145">
        <v>287</v>
      </c>
      <c r="F154" s="145">
        <v>201</v>
      </c>
      <c r="G154" s="145">
        <f t="shared" si="15"/>
        <v>812</v>
      </c>
      <c r="H154" s="145">
        <f t="shared" si="16"/>
        <v>-812</v>
      </c>
      <c r="I154" s="150"/>
    </row>
    <row r="155" s="70" customFormat="true" ht="15.75" spans="1:9">
      <c r="A155" s="147">
        <v>45</v>
      </c>
      <c r="B155" s="144" t="s">
        <v>301</v>
      </c>
      <c r="C155" s="145">
        <v>100</v>
      </c>
      <c r="D155" s="145">
        <f t="shared" si="17"/>
        <v>0</v>
      </c>
      <c r="E155" s="145"/>
      <c r="F155" s="145"/>
      <c r="G155" s="145">
        <f t="shared" si="15"/>
        <v>100</v>
      </c>
      <c r="H155" s="145">
        <f t="shared" si="16"/>
        <v>-100</v>
      </c>
      <c r="I155" s="150"/>
    </row>
    <row r="156" s="70" customFormat="true" ht="15.75" spans="1:9">
      <c r="A156" s="147">
        <v>46</v>
      </c>
      <c r="B156" s="144" t="s">
        <v>302</v>
      </c>
      <c r="C156" s="145">
        <v>80</v>
      </c>
      <c r="D156" s="145">
        <f t="shared" si="17"/>
        <v>26</v>
      </c>
      <c r="E156" s="145"/>
      <c r="F156" s="145">
        <v>26</v>
      </c>
      <c r="G156" s="145">
        <f t="shared" si="15"/>
        <v>54</v>
      </c>
      <c r="H156" s="145">
        <f t="shared" si="16"/>
        <v>-54</v>
      </c>
      <c r="I156" s="150"/>
    </row>
    <row r="157" s="70" customFormat="true" ht="15.75" spans="1:9">
      <c r="A157" s="147">
        <v>47</v>
      </c>
      <c r="B157" s="144" t="s">
        <v>303</v>
      </c>
      <c r="C157" s="145">
        <v>75</v>
      </c>
      <c r="D157" s="145">
        <f t="shared" si="17"/>
        <v>25</v>
      </c>
      <c r="E157" s="145"/>
      <c r="F157" s="145">
        <v>25</v>
      </c>
      <c r="G157" s="145">
        <f t="shared" si="15"/>
        <v>50</v>
      </c>
      <c r="H157" s="145">
        <f t="shared" si="16"/>
        <v>-50</v>
      </c>
      <c r="I157" s="150"/>
    </row>
    <row r="158" s="70" customFormat="true" ht="15.75" spans="1:9">
      <c r="A158" s="147">
        <v>48</v>
      </c>
      <c r="B158" s="144" t="s">
        <v>304</v>
      </c>
      <c r="C158" s="145">
        <v>2534</v>
      </c>
      <c r="D158" s="145">
        <f t="shared" si="17"/>
        <v>2147</v>
      </c>
      <c r="E158" s="145">
        <v>1553</v>
      </c>
      <c r="F158" s="145">
        <v>594</v>
      </c>
      <c r="G158" s="145">
        <f t="shared" si="15"/>
        <v>387</v>
      </c>
      <c r="H158" s="145">
        <f t="shared" si="16"/>
        <v>-387</v>
      </c>
      <c r="I158" s="150"/>
    </row>
    <row r="159" s="70" customFormat="true" ht="15.75" spans="1:9">
      <c r="A159" s="91" t="s">
        <v>305</v>
      </c>
      <c r="B159" s="112" t="s">
        <v>306</v>
      </c>
      <c r="C159" s="149">
        <f t="shared" ref="C159:H159" si="18">C160+C216</f>
        <v>18862</v>
      </c>
      <c r="D159" s="149">
        <f t="shared" si="18"/>
        <v>230575.656301</v>
      </c>
      <c r="E159" s="149">
        <f t="shared" si="18"/>
        <v>166971.284457</v>
      </c>
      <c r="F159" s="149">
        <f t="shared" si="18"/>
        <v>63604.371844</v>
      </c>
      <c r="G159" s="149">
        <f t="shared" si="18"/>
        <v>-211713.656301</v>
      </c>
      <c r="H159" s="149">
        <f t="shared" si="18"/>
        <v>211713.656301</v>
      </c>
      <c r="I159" s="150"/>
    </row>
    <row r="160" ht="15.75" spans="1:9">
      <c r="A160" s="91"/>
      <c r="B160" s="114" t="s">
        <v>170</v>
      </c>
      <c r="C160" s="143">
        <f t="shared" ref="C160:H160" si="19">SUM(C161:C215)</f>
        <v>0</v>
      </c>
      <c r="D160" s="143">
        <f t="shared" si="19"/>
        <v>123829.656301</v>
      </c>
      <c r="E160" s="143">
        <f t="shared" si="19"/>
        <v>103946.284457</v>
      </c>
      <c r="F160" s="143">
        <f t="shared" si="19"/>
        <v>19883.371844</v>
      </c>
      <c r="G160" s="143">
        <f t="shared" si="19"/>
        <v>-123829.656301</v>
      </c>
      <c r="H160" s="143">
        <f t="shared" si="19"/>
        <v>123829.656301</v>
      </c>
      <c r="I160" s="151"/>
    </row>
    <row r="161" ht="15.75" spans="1:9">
      <c r="A161" s="91">
        <v>1</v>
      </c>
      <c r="B161" s="144" t="s">
        <v>307</v>
      </c>
      <c r="C161" s="145">
        <v>0</v>
      </c>
      <c r="D161" s="145">
        <f>E161+F161</f>
        <v>415.701833</v>
      </c>
      <c r="E161" s="145">
        <v>415.701833</v>
      </c>
      <c r="F161" s="145">
        <v>0</v>
      </c>
      <c r="G161" s="145">
        <f>-H161</f>
        <v>-415.701833</v>
      </c>
      <c r="H161" s="145">
        <f>D161-C161</f>
        <v>415.701833</v>
      </c>
      <c r="I161" s="151"/>
    </row>
    <row r="162" ht="15.75" spans="1:9">
      <c r="A162" s="91">
        <v>2</v>
      </c>
      <c r="B162" s="144" t="s">
        <v>308</v>
      </c>
      <c r="C162" s="145">
        <v>0</v>
      </c>
      <c r="D162" s="145">
        <f t="shared" ref="D162:D176" si="20">E162+F162</f>
        <v>607.80623</v>
      </c>
      <c r="E162" s="145">
        <v>607.80623</v>
      </c>
      <c r="F162" s="145">
        <v>0</v>
      </c>
      <c r="G162" s="145">
        <f t="shared" ref="G162:G225" si="21">-H162</f>
        <v>-607.80623</v>
      </c>
      <c r="H162" s="145">
        <f t="shared" ref="H162:H193" si="22">D162-C162</f>
        <v>607.80623</v>
      </c>
      <c r="I162" s="151"/>
    </row>
    <row r="163" ht="15.75" spans="1:9">
      <c r="A163" s="91">
        <v>3</v>
      </c>
      <c r="B163" s="144" t="s">
        <v>309</v>
      </c>
      <c r="C163" s="145">
        <v>0</v>
      </c>
      <c r="D163" s="145">
        <f t="shared" si="20"/>
        <v>5000</v>
      </c>
      <c r="E163" s="145">
        <v>5000</v>
      </c>
      <c r="F163" s="145">
        <v>0</v>
      </c>
      <c r="G163" s="145">
        <f t="shared" si="21"/>
        <v>-5000</v>
      </c>
      <c r="H163" s="145">
        <f t="shared" si="22"/>
        <v>5000</v>
      </c>
      <c r="I163" s="151"/>
    </row>
    <row r="164" ht="15.75" spans="1:9">
      <c r="A164" s="91">
        <v>4</v>
      </c>
      <c r="B164" s="144" t="s">
        <v>310</v>
      </c>
      <c r="C164" s="145">
        <v>0</v>
      </c>
      <c r="D164" s="145">
        <f t="shared" si="20"/>
        <v>15514.118138</v>
      </c>
      <c r="E164" s="145">
        <v>10076.490738</v>
      </c>
      <c r="F164" s="145">
        <v>5437.6274</v>
      </c>
      <c r="G164" s="145">
        <f t="shared" si="21"/>
        <v>-15514.118138</v>
      </c>
      <c r="H164" s="145">
        <f t="shared" si="22"/>
        <v>15514.118138</v>
      </c>
      <c r="I164" s="151"/>
    </row>
    <row r="165" ht="15.75" spans="1:9">
      <c r="A165" s="91">
        <v>5</v>
      </c>
      <c r="B165" s="144" t="s">
        <v>311</v>
      </c>
      <c r="C165" s="145">
        <v>0</v>
      </c>
      <c r="D165" s="145">
        <f t="shared" si="20"/>
        <v>520</v>
      </c>
      <c r="E165" s="145">
        <v>520</v>
      </c>
      <c r="F165" s="145">
        <v>0</v>
      </c>
      <c r="G165" s="145">
        <f t="shared" si="21"/>
        <v>-520</v>
      </c>
      <c r="H165" s="145">
        <f t="shared" si="22"/>
        <v>520</v>
      </c>
      <c r="I165" s="151"/>
    </row>
    <row r="166" ht="15.75" spans="1:9">
      <c r="A166" s="91">
        <v>6</v>
      </c>
      <c r="B166" s="144" t="s">
        <v>312</v>
      </c>
      <c r="C166" s="145">
        <v>0</v>
      </c>
      <c r="D166" s="145">
        <f t="shared" si="20"/>
        <v>1042.3215</v>
      </c>
      <c r="E166" s="145">
        <v>1042.3215</v>
      </c>
      <c r="F166" s="145">
        <v>0</v>
      </c>
      <c r="G166" s="145">
        <f t="shared" si="21"/>
        <v>-1042.3215</v>
      </c>
      <c r="H166" s="145">
        <f t="shared" si="22"/>
        <v>1042.3215</v>
      </c>
      <c r="I166" s="151"/>
    </row>
    <row r="167" ht="15.75" spans="1:9">
      <c r="A167" s="91">
        <v>7</v>
      </c>
      <c r="B167" s="144" t="s">
        <v>313</v>
      </c>
      <c r="C167" s="145">
        <v>0</v>
      </c>
      <c r="D167" s="145">
        <f t="shared" si="20"/>
        <v>530.18</v>
      </c>
      <c r="E167" s="145">
        <v>530.18</v>
      </c>
      <c r="F167" s="145">
        <v>0</v>
      </c>
      <c r="G167" s="145">
        <f t="shared" si="21"/>
        <v>-530.18</v>
      </c>
      <c r="H167" s="145">
        <f t="shared" si="22"/>
        <v>530.18</v>
      </c>
      <c r="I167" s="151"/>
    </row>
    <row r="168" ht="15.75" hidden="true" spans="1:9">
      <c r="A168" s="91">
        <v>8</v>
      </c>
      <c r="B168" s="144" t="s">
        <v>314</v>
      </c>
      <c r="C168" s="145">
        <v>0</v>
      </c>
      <c r="D168" s="145">
        <f t="shared" si="20"/>
        <v>47656</v>
      </c>
      <c r="E168" s="145">
        <v>47656</v>
      </c>
      <c r="F168" s="145">
        <v>0</v>
      </c>
      <c r="G168" s="145">
        <f t="shared" si="21"/>
        <v>-47656</v>
      </c>
      <c r="H168" s="145">
        <f t="shared" si="22"/>
        <v>47656</v>
      </c>
      <c r="I168" s="151"/>
    </row>
    <row r="169" ht="15.75" hidden="true" spans="1:9">
      <c r="A169" s="91">
        <v>9</v>
      </c>
      <c r="B169" s="144" t="s">
        <v>315</v>
      </c>
      <c r="C169" s="145">
        <v>0</v>
      </c>
      <c r="D169" s="145">
        <f t="shared" si="20"/>
        <v>238.0372</v>
      </c>
      <c r="E169" s="145">
        <v>120</v>
      </c>
      <c r="F169" s="145">
        <v>118.0372</v>
      </c>
      <c r="G169" s="145">
        <f t="shared" si="21"/>
        <v>-238.0372</v>
      </c>
      <c r="H169" s="145">
        <f t="shared" si="22"/>
        <v>238.0372</v>
      </c>
      <c r="I169" s="151"/>
    </row>
    <row r="170" ht="15.75" hidden="true" spans="1:9">
      <c r="A170" s="91">
        <v>10</v>
      </c>
      <c r="B170" s="144" t="s">
        <v>316</v>
      </c>
      <c r="C170" s="145">
        <v>0</v>
      </c>
      <c r="D170" s="145">
        <f t="shared" si="20"/>
        <v>455.56</v>
      </c>
      <c r="E170" s="145">
        <v>455.56</v>
      </c>
      <c r="F170" s="145">
        <v>0</v>
      </c>
      <c r="G170" s="145">
        <f t="shared" si="21"/>
        <v>-455.56</v>
      </c>
      <c r="H170" s="145">
        <f t="shared" si="22"/>
        <v>455.56</v>
      </c>
      <c r="I170" s="151"/>
    </row>
    <row r="171" ht="15.75" hidden="true" spans="1:9">
      <c r="A171" s="91">
        <v>11</v>
      </c>
      <c r="B171" s="144" t="s">
        <v>317</v>
      </c>
      <c r="C171" s="145">
        <v>0</v>
      </c>
      <c r="D171" s="145">
        <f t="shared" si="20"/>
        <v>865.91</v>
      </c>
      <c r="E171" s="145">
        <v>865.91</v>
      </c>
      <c r="F171" s="145">
        <v>0</v>
      </c>
      <c r="G171" s="145">
        <f t="shared" si="21"/>
        <v>-865.91</v>
      </c>
      <c r="H171" s="145">
        <f t="shared" si="22"/>
        <v>865.91</v>
      </c>
      <c r="I171" s="151"/>
    </row>
    <row r="172" ht="15.75" hidden="true" spans="1:9">
      <c r="A172" s="91">
        <v>12</v>
      </c>
      <c r="B172" s="144" t="s">
        <v>318</v>
      </c>
      <c r="C172" s="145">
        <v>0</v>
      </c>
      <c r="D172" s="145">
        <f t="shared" si="20"/>
        <v>1800</v>
      </c>
      <c r="E172" s="145">
        <v>1800</v>
      </c>
      <c r="F172" s="145">
        <v>0</v>
      </c>
      <c r="G172" s="145">
        <f t="shared" si="21"/>
        <v>-1800</v>
      </c>
      <c r="H172" s="145">
        <f t="shared" si="22"/>
        <v>1800</v>
      </c>
      <c r="I172" s="151"/>
    </row>
    <row r="173" ht="15.75" hidden="true" spans="1:9">
      <c r="A173" s="91">
        <v>13</v>
      </c>
      <c r="B173" s="144" t="s">
        <v>319</v>
      </c>
      <c r="C173" s="145">
        <v>0</v>
      </c>
      <c r="D173" s="145">
        <f t="shared" si="20"/>
        <v>500</v>
      </c>
      <c r="E173" s="145">
        <v>500</v>
      </c>
      <c r="F173" s="145">
        <v>0</v>
      </c>
      <c r="G173" s="145">
        <f t="shared" si="21"/>
        <v>-500</v>
      </c>
      <c r="H173" s="145">
        <f t="shared" si="22"/>
        <v>500</v>
      </c>
      <c r="I173" s="151"/>
    </row>
    <row r="174" ht="15.75" hidden="true" spans="1:9">
      <c r="A174" s="91">
        <v>14</v>
      </c>
      <c r="B174" s="144" t="s">
        <v>320</v>
      </c>
      <c r="C174" s="145">
        <v>0</v>
      </c>
      <c r="D174" s="145">
        <f t="shared" si="20"/>
        <v>3250</v>
      </c>
      <c r="E174" s="145">
        <v>2227.71723</v>
      </c>
      <c r="F174" s="145">
        <v>1022.28277</v>
      </c>
      <c r="G174" s="145">
        <f t="shared" si="21"/>
        <v>-3250</v>
      </c>
      <c r="H174" s="145">
        <f t="shared" si="22"/>
        <v>3250</v>
      </c>
      <c r="I174" s="151"/>
    </row>
    <row r="175" ht="15.75" hidden="true" spans="1:9">
      <c r="A175" s="91">
        <v>15</v>
      </c>
      <c r="B175" s="144" t="s">
        <v>321</v>
      </c>
      <c r="C175" s="145">
        <v>0</v>
      </c>
      <c r="D175" s="145">
        <f t="shared" si="20"/>
        <v>1908.554494</v>
      </c>
      <c r="E175" s="145">
        <v>1593.901294</v>
      </c>
      <c r="F175" s="145">
        <v>314.6532</v>
      </c>
      <c r="G175" s="145">
        <f t="shared" si="21"/>
        <v>-1908.554494</v>
      </c>
      <c r="H175" s="145">
        <f t="shared" si="22"/>
        <v>1908.554494</v>
      </c>
      <c r="I175" s="151"/>
    </row>
    <row r="176" ht="15.75" hidden="true" spans="1:9">
      <c r="A176" s="91">
        <v>16</v>
      </c>
      <c r="B176" s="144" t="s">
        <v>322</v>
      </c>
      <c r="C176" s="145">
        <v>0</v>
      </c>
      <c r="D176" s="145">
        <f t="shared" si="20"/>
        <v>395.7036</v>
      </c>
      <c r="E176" s="145">
        <v>50</v>
      </c>
      <c r="F176" s="145">
        <v>345.7036</v>
      </c>
      <c r="G176" s="145">
        <f t="shared" si="21"/>
        <v>-395.7036</v>
      </c>
      <c r="H176" s="145">
        <f t="shared" si="22"/>
        <v>395.7036</v>
      </c>
      <c r="I176" s="151"/>
    </row>
    <row r="177" ht="15.75" hidden="true" spans="1:9">
      <c r="A177" s="91">
        <v>17</v>
      </c>
      <c r="B177" s="144" t="s">
        <v>323</v>
      </c>
      <c r="C177" s="145">
        <v>0</v>
      </c>
      <c r="D177" s="145">
        <f t="shared" ref="D177:D235" si="23">E177+F177</f>
        <v>7214.380996</v>
      </c>
      <c r="E177" s="145">
        <v>2627.874112</v>
      </c>
      <c r="F177" s="145">
        <v>4586.506884</v>
      </c>
      <c r="G177" s="145">
        <f t="shared" si="21"/>
        <v>-7214.380996</v>
      </c>
      <c r="H177" s="145">
        <f t="shared" si="22"/>
        <v>7214.380996</v>
      </c>
      <c r="I177" s="151"/>
    </row>
    <row r="178" ht="15.75" hidden="true" spans="1:9">
      <c r="A178" s="91">
        <v>18</v>
      </c>
      <c r="B178" s="144" t="s">
        <v>324</v>
      </c>
      <c r="C178" s="145">
        <v>0</v>
      </c>
      <c r="D178" s="145">
        <f t="shared" si="23"/>
        <v>2578.95</v>
      </c>
      <c r="E178" s="145">
        <v>2578.95</v>
      </c>
      <c r="F178" s="145">
        <v>0</v>
      </c>
      <c r="G178" s="145">
        <f t="shared" si="21"/>
        <v>-2578.95</v>
      </c>
      <c r="H178" s="145">
        <f t="shared" si="22"/>
        <v>2578.95</v>
      </c>
      <c r="I178" s="151"/>
    </row>
    <row r="179" ht="15.75" hidden="true" spans="1:9">
      <c r="A179" s="91">
        <v>19</v>
      </c>
      <c r="B179" s="144" t="s">
        <v>325</v>
      </c>
      <c r="C179" s="145">
        <v>0</v>
      </c>
      <c r="D179" s="145">
        <f t="shared" si="23"/>
        <v>297.5572</v>
      </c>
      <c r="E179" s="145">
        <v>23.6294</v>
      </c>
      <c r="F179" s="145">
        <v>273.9278</v>
      </c>
      <c r="G179" s="145">
        <f t="shared" si="21"/>
        <v>-297.5572</v>
      </c>
      <c r="H179" s="145">
        <f t="shared" si="22"/>
        <v>297.5572</v>
      </c>
      <c r="I179" s="151"/>
    </row>
    <row r="180" ht="15.75" hidden="true" spans="1:9">
      <c r="A180" s="91">
        <v>20</v>
      </c>
      <c r="B180" s="144" t="s">
        <v>326</v>
      </c>
      <c r="C180" s="145">
        <v>0</v>
      </c>
      <c r="D180" s="145">
        <f t="shared" si="23"/>
        <v>1000</v>
      </c>
      <c r="E180" s="145">
        <v>1000</v>
      </c>
      <c r="F180" s="145">
        <v>0</v>
      </c>
      <c r="G180" s="145">
        <f t="shared" si="21"/>
        <v>-1000</v>
      </c>
      <c r="H180" s="145">
        <f t="shared" si="22"/>
        <v>1000</v>
      </c>
      <c r="I180" s="151"/>
    </row>
    <row r="181" ht="15.75" hidden="true" spans="1:9">
      <c r="A181" s="91">
        <v>21</v>
      </c>
      <c r="B181" s="144" t="s">
        <v>327</v>
      </c>
      <c r="C181" s="145">
        <v>0</v>
      </c>
      <c r="D181" s="145">
        <f t="shared" si="23"/>
        <v>560</v>
      </c>
      <c r="E181" s="145">
        <v>0</v>
      </c>
      <c r="F181" s="145">
        <v>560</v>
      </c>
      <c r="G181" s="145">
        <f t="shared" si="21"/>
        <v>-560</v>
      </c>
      <c r="H181" s="145">
        <f t="shared" si="22"/>
        <v>560</v>
      </c>
      <c r="I181" s="151"/>
    </row>
    <row r="182" ht="31.5" hidden="true" spans="1:9">
      <c r="A182" s="91">
        <v>22</v>
      </c>
      <c r="B182" s="144" t="s">
        <v>328</v>
      </c>
      <c r="C182" s="145">
        <v>0</v>
      </c>
      <c r="D182" s="145">
        <f t="shared" si="23"/>
        <v>201.73674</v>
      </c>
      <c r="E182" s="145">
        <v>201.73674</v>
      </c>
      <c r="F182" s="145">
        <v>0</v>
      </c>
      <c r="G182" s="145">
        <f t="shared" si="21"/>
        <v>-201.73674</v>
      </c>
      <c r="H182" s="145">
        <f t="shared" si="22"/>
        <v>201.73674</v>
      </c>
      <c r="I182" s="151"/>
    </row>
    <row r="183" ht="15.75" hidden="true" spans="1:9">
      <c r="A183" s="91">
        <v>23</v>
      </c>
      <c r="B183" s="144" t="s">
        <v>329</v>
      </c>
      <c r="C183" s="145">
        <v>0</v>
      </c>
      <c r="D183" s="145">
        <f t="shared" si="23"/>
        <v>1000</v>
      </c>
      <c r="E183" s="145">
        <v>1000</v>
      </c>
      <c r="F183" s="145">
        <v>0</v>
      </c>
      <c r="G183" s="145">
        <f t="shared" si="21"/>
        <v>-1000</v>
      </c>
      <c r="H183" s="145">
        <f t="shared" si="22"/>
        <v>1000</v>
      </c>
      <c r="I183" s="151"/>
    </row>
    <row r="184" ht="15.75" hidden="true" spans="1:9">
      <c r="A184" s="91">
        <v>24</v>
      </c>
      <c r="B184" s="144" t="s">
        <v>330</v>
      </c>
      <c r="C184" s="145">
        <v>0</v>
      </c>
      <c r="D184" s="145">
        <f t="shared" si="23"/>
        <v>516</v>
      </c>
      <c r="E184" s="145">
        <v>516</v>
      </c>
      <c r="F184" s="145">
        <v>0</v>
      </c>
      <c r="G184" s="145">
        <f t="shared" si="21"/>
        <v>-516</v>
      </c>
      <c r="H184" s="145">
        <f t="shared" si="22"/>
        <v>516</v>
      </c>
      <c r="I184" s="151"/>
    </row>
    <row r="185" ht="15.75" hidden="true" spans="1:9">
      <c r="A185" s="91">
        <v>25</v>
      </c>
      <c r="B185" s="144" t="s">
        <v>331</v>
      </c>
      <c r="C185" s="145">
        <v>0</v>
      </c>
      <c r="D185" s="145">
        <f t="shared" si="23"/>
        <v>1000</v>
      </c>
      <c r="E185" s="145">
        <v>1000</v>
      </c>
      <c r="F185" s="145">
        <v>0</v>
      </c>
      <c r="G185" s="145">
        <f t="shared" si="21"/>
        <v>-1000</v>
      </c>
      <c r="H185" s="145">
        <f t="shared" si="22"/>
        <v>1000</v>
      </c>
      <c r="I185" s="151"/>
    </row>
    <row r="186" s="21" customFormat="true" ht="15.75" hidden="true" spans="1:9">
      <c r="A186" s="91">
        <v>26</v>
      </c>
      <c r="B186" s="144" t="s">
        <v>332</v>
      </c>
      <c r="C186" s="145">
        <v>0</v>
      </c>
      <c r="D186" s="145">
        <f t="shared" si="23"/>
        <v>378.3145</v>
      </c>
      <c r="E186" s="145">
        <v>378.3145</v>
      </c>
      <c r="F186" s="145">
        <v>0</v>
      </c>
      <c r="G186" s="145">
        <f t="shared" si="21"/>
        <v>-378.3145</v>
      </c>
      <c r="H186" s="145">
        <f t="shared" si="22"/>
        <v>378.3145</v>
      </c>
      <c r="I186" s="151"/>
    </row>
    <row r="187" s="21" customFormat="true" ht="15.75" hidden="true" spans="1:9">
      <c r="A187" s="91">
        <v>27</v>
      </c>
      <c r="B187" s="144" t="s">
        <v>333</v>
      </c>
      <c r="C187" s="145">
        <v>0</v>
      </c>
      <c r="D187" s="145">
        <f t="shared" si="23"/>
        <v>500</v>
      </c>
      <c r="E187" s="145">
        <v>500</v>
      </c>
      <c r="F187" s="145">
        <v>0</v>
      </c>
      <c r="G187" s="145">
        <f t="shared" si="21"/>
        <v>-500</v>
      </c>
      <c r="H187" s="145">
        <f t="shared" si="22"/>
        <v>500</v>
      </c>
      <c r="I187" s="151"/>
    </row>
    <row r="188" s="21" customFormat="true" ht="15.75" hidden="true" spans="1:9">
      <c r="A188" s="91">
        <v>28</v>
      </c>
      <c r="B188" s="144" t="s">
        <v>334</v>
      </c>
      <c r="C188" s="145">
        <v>0</v>
      </c>
      <c r="D188" s="145">
        <f t="shared" si="23"/>
        <v>759.5784</v>
      </c>
      <c r="E188" s="145">
        <v>759.5784</v>
      </c>
      <c r="F188" s="145">
        <v>0</v>
      </c>
      <c r="G188" s="145">
        <f t="shared" si="21"/>
        <v>-759.5784</v>
      </c>
      <c r="H188" s="145">
        <f t="shared" si="22"/>
        <v>759.5784</v>
      </c>
      <c r="I188" s="151"/>
    </row>
    <row r="189" s="21" customFormat="true" ht="15.75" hidden="true" spans="1:9">
      <c r="A189" s="91">
        <v>29</v>
      </c>
      <c r="B189" s="144" t="s">
        <v>335</v>
      </c>
      <c r="C189" s="145">
        <v>0</v>
      </c>
      <c r="D189" s="145">
        <f t="shared" si="23"/>
        <v>1350</v>
      </c>
      <c r="E189" s="145">
        <v>450</v>
      </c>
      <c r="F189" s="145">
        <v>900</v>
      </c>
      <c r="G189" s="145">
        <f t="shared" si="21"/>
        <v>-1350</v>
      </c>
      <c r="H189" s="145">
        <f t="shared" si="22"/>
        <v>1350</v>
      </c>
      <c r="I189" s="151"/>
    </row>
    <row r="190" s="21" customFormat="true" ht="15.75" hidden="true" spans="1:9">
      <c r="A190" s="91">
        <v>30</v>
      </c>
      <c r="B190" s="144" t="s">
        <v>336</v>
      </c>
      <c r="C190" s="145">
        <v>0</v>
      </c>
      <c r="D190" s="145">
        <f t="shared" si="23"/>
        <v>3000</v>
      </c>
      <c r="E190" s="145">
        <v>3000</v>
      </c>
      <c r="F190" s="145">
        <v>0</v>
      </c>
      <c r="G190" s="145">
        <f t="shared" si="21"/>
        <v>-3000</v>
      </c>
      <c r="H190" s="145">
        <f t="shared" si="22"/>
        <v>3000</v>
      </c>
      <c r="I190" s="151"/>
    </row>
    <row r="191" s="21" customFormat="true" ht="15.75" hidden="true" spans="1:9">
      <c r="A191" s="91">
        <v>31</v>
      </c>
      <c r="B191" s="144" t="s">
        <v>337</v>
      </c>
      <c r="C191" s="145">
        <v>0</v>
      </c>
      <c r="D191" s="145">
        <f t="shared" si="23"/>
        <v>240.1683</v>
      </c>
      <c r="E191" s="145">
        <v>240.1683</v>
      </c>
      <c r="F191" s="145">
        <v>0</v>
      </c>
      <c r="G191" s="145">
        <f t="shared" si="21"/>
        <v>-240.1683</v>
      </c>
      <c r="H191" s="145">
        <f t="shared" si="22"/>
        <v>240.1683</v>
      </c>
      <c r="I191" s="151"/>
    </row>
    <row r="192" s="21" customFormat="true" ht="15.75" hidden="true" spans="1:9">
      <c r="A192" s="91">
        <v>32</v>
      </c>
      <c r="B192" s="144" t="s">
        <v>338</v>
      </c>
      <c r="C192" s="145">
        <v>0</v>
      </c>
      <c r="D192" s="145">
        <f t="shared" si="23"/>
        <v>2000</v>
      </c>
      <c r="E192" s="145">
        <v>2000</v>
      </c>
      <c r="F192" s="145">
        <v>0</v>
      </c>
      <c r="G192" s="145">
        <f t="shared" si="21"/>
        <v>-2000</v>
      </c>
      <c r="H192" s="145">
        <f t="shared" si="22"/>
        <v>2000</v>
      </c>
      <c r="I192" s="151"/>
    </row>
    <row r="193" s="21" customFormat="true" ht="15.75" hidden="true" spans="1:9">
      <c r="A193" s="91">
        <v>33</v>
      </c>
      <c r="B193" s="144" t="s">
        <v>339</v>
      </c>
      <c r="C193" s="145">
        <v>0</v>
      </c>
      <c r="D193" s="145">
        <f t="shared" si="23"/>
        <v>110</v>
      </c>
      <c r="E193" s="145">
        <v>0</v>
      </c>
      <c r="F193" s="145">
        <v>110</v>
      </c>
      <c r="G193" s="145">
        <f t="shared" si="21"/>
        <v>-110</v>
      </c>
      <c r="H193" s="145">
        <f t="shared" si="22"/>
        <v>110</v>
      </c>
      <c r="I193" s="151"/>
    </row>
    <row r="194" s="21" customFormat="true" ht="15.75" hidden="true" spans="1:9">
      <c r="A194" s="91">
        <v>34</v>
      </c>
      <c r="B194" s="144" t="s">
        <v>340</v>
      </c>
      <c r="C194" s="145">
        <v>0</v>
      </c>
      <c r="D194" s="145">
        <f t="shared" si="23"/>
        <v>1500</v>
      </c>
      <c r="E194" s="145">
        <v>1500</v>
      </c>
      <c r="F194" s="145">
        <v>0</v>
      </c>
      <c r="G194" s="145">
        <f t="shared" si="21"/>
        <v>-1500</v>
      </c>
      <c r="H194" s="145">
        <f t="shared" ref="H194:H215" si="24">D194-C194</f>
        <v>1500</v>
      </c>
      <c r="I194" s="151"/>
    </row>
    <row r="195" s="21" customFormat="true" ht="15.75" hidden="true" spans="1:9">
      <c r="A195" s="91">
        <v>35</v>
      </c>
      <c r="B195" s="144" t="s">
        <v>341</v>
      </c>
      <c r="C195" s="145">
        <v>0</v>
      </c>
      <c r="D195" s="145">
        <f t="shared" si="23"/>
        <v>1000</v>
      </c>
      <c r="E195" s="145">
        <v>1000</v>
      </c>
      <c r="F195" s="145">
        <v>0</v>
      </c>
      <c r="G195" s="145">
        <f t="shared" si="21"/>
        <v>-1000</v>
      </c>
      <c r="H195" s="145">
        <f t="shared" si="24"/>
        <v>1000</v>
      </c>
      <c r="I195" s="151"/>
    </row>
    <row r="196" s="21" customFormat="true" ht="31.5" hidden="true" spans="1:9">
      <c r="A196" s="91">
        <v>36</v>
      </c>
      <c r="B196" s="144" t="s">
        <v>342</v>
      </c>
      <c r="C196" s="145">
        <v>0</v>
      </c>
      <c r="D196" s="145">
        <f t="shared" si="23"/>
        <v>194.7746</v>
      </c>
      <c r="E196" s="145">
        <v>30</v>
      </c>
      <c r="F196" s="145">
        <v>164.7746</v>
      </c>
      <c r="G196" s="145">
        <f t="shared" si="21"/>
        <v>-194.7746</v>
      </c>
      <c r="H196" s="145">
        <f t="shared" si="24"/>
        <v>194.7746</v>
      </c>
      <c r="I196" s="151"/>
    </row>
    <row r="197" ht="15.75" spans="1:9">
      <c r="A197" s="91">
        <v>37</v>
      </c>
      <c r="B197" s="144" t="s">
        <v>343</v>
      </c>
      <c r="C197" s="145">
        <v>0</v>
      </c>
      <c r="D197" s="145">
        <f t="shared" si="23"/>
        <v>244.2065</v>
      </c>
      <c r="E197" s="145">
        <v>244.2065</v>
      </c>
      <c r="F197" s="145">
        <v>0</v>
      </c>
      <c r="G197" s="145">
        <f t="shared" si="21"/>
        <v>-244.2065</v>
      </c>
      <c r="H197" s="145">
        <f t="shared" si="24"/>
        <v>244.2065</v>
      </c>
      <c r="I197" s="117"/>
    </row>
    <row r="198" s="50" customFormat="true" ht="15.75" spans="1:12">
      <c r="A198" s="91">
        <v>38</v>
      </c>
      <c r="B198" s="144" t="s">
        <v>344</v>
      </c>
      <c r="C198" s="145">
        <v>0</v>
      </c>
      <c r="D198" s="145">
        <f t="shared" si="23"/>
        <v>2402.62084</v>
      </c>
      <c r="E198" s="145">
        <v>2402.62084</v>
      </c>
      <c r="F198" s="145">
        <v>0</v>
      </c>
      <c r="G198" s="145">
        <f t="shared" si="21"/>
        <v>-2402.62084</v>
      </c>
      <c r="H198" s="145">
        <f t="shared" si="24"/>
        <v>2402.62084</v>
      </c>
      <c r="I198" s="152"/>
      <c r="J198" s="153"/>
      <c r="L198" s="154"/>
    </row>
    <row r="199" s="50" customFormat="true" ht="15.75" spans="1:12">
      <c r="A199" s="91">
        <v>39</v>
      </c>
      <c r="B199" s="144" t="s">
        <v>345</v>
      </c>
      <c r="C199" s="145">
        <v>0</v>
      </c>
      <c r="D199" s="145">
        <f t="shared" si="23"/>
        <v>461.2005</v>
      </c>
      <c r="E199" s="145">
        <v>461.2005</v>
      </c>
      <c r="F199" s="145">
        <v>0</v>
      </c>
      <c r="G199" s="145">
        <f t="shared" si="21"/>
        <v>-461.2005</v>
      </c>
      <c r="H199" s="145">
        <f t="shared" si="24"/>
        <v>461.2005</v>
      </c>
      <c r="I199" s="152"/>
      <c r="J199" s="153"/>
      <c r="L199" s="154"/>
    </row>
    <row r="200" s="50" customFormat="true" ht="15.75" spans="1:12">
      <c r="A200" s="91">
        <v>40</v>
      </c>
      <c r="B200" s="144" t="s">
        <v>346</v>
      </c>
      <c r="C200" s="145">
        <v>0</v>
      </c>
      <c r="D200" s="145">
        <f t="shared" si="23"/>
        <v>1000</v>
      </c>
      <c r="E200" s="145">
        <v>1000</v>
      </c>
      <c r="F200" s="145">
        <v>0</v>
      </c>
      <c r="G200" s="145">
        <f t="shared" si="21"/>
        <v>-1000</v>
      </c>
      <c r="H200" s="145">
        <f t="shared" si="24"/>
        <v>1000</v>
      </c>
      <c r="I200" s="152"/>
      <c r="J200" s="153"/>
      <c r="L200" s="154"/>
    </row>
    <row r="201" s="50" customFormat="true" ht="15.75" spans="1:12">
      <c r="A201" s="91">
        <v>41</v>
      </c>
      <c r="B201" s="144" t="s">
        <v>347</v>
      </c>
      <c r="C201" s="145">
        <v>0</v>
      </c>
      <c r="D201" s="145">
        <f t="shared" si="23"/>
        <v>2000</v>
      </c>
      <c r="E201" s="145">
        <v>310.2327</v>
      </c>
      <c r="F201" s="145">
        <v>1689.7673</v>
      </c>
      <c r="G201" s="145">
        <f t="shared" si="21"/>
        <v>-2000</v>
      </c>
      <c r="H201" s="145">
        <f t="shared" si="24"/>
        <v>2000</v>
      </c>
      <c r="I201" s="152"/>
      <c r="J201" s="153"/>
      <c r="L201" s="154"/>
    </row>
    <row r="202" s="50" customFormat="true" ht="15.75" spans="1:12">
      <c r="A202" s="91">
        <v>42</v>
      </c>
      <c r="B202" s="144" t="s">
        <v>348</v>
      </c>
      <c r="C202" s="145">
        <v>0</v>
      </c>
      <c r="D202" s="145">
        <f t="shared" si="23"/>
        <v>1500</v>
      </c>
      <c r="E202" s="145">
        <v>1500</v>
      </c>
      <c r="F202" s="145">
        <v>0</v>
      </c>
      <c r="G202" s="145">
        <f t="shared" si="21"/>
        <v>-1500</v>
      </c>
      <c r="H202" s="145">
        <f t="shared" si="24"/>
        <v>1500</v>
      </c>
      <c r="I202" s="152"/>
      <c r="J202" s="153"/>
      <c r="L202" s="154"/>
    </row>
    <row r="203" s="50" customFormat="true" ht="15.75" spans="1:12">
      <c r="A203" s="91">
        <v>43</v>
      </c>
      <c r="B203" s="144" t="s">
        <v>349</v>
      </c>
      <c r="C203" s="145">
        <v>0</v>
      </c>
      <c r="D203" s="145">
        <f t="shared" si="23"/>
        <v>395.7036</v>
      </c>
      <c r="E203" s="145">
        <v>140</v>
      </c>
      <c r="F203" s="145">
        <v>255.7036</v>
      </c>
      <c r="G203" s="145">
        <f t="shared" si="21"/>
        <v>-395.7036</v>
      </c>
      <c r="H203" s="145">
        <f t="shared" si="24"/>
        <v>395.7036</v>
      </c>
      <c r="I203" s="152"/>
      <c r="J203" s="153"/>
      <c r="L203" s="154"/>
    </row>
    <row r="204" s="50" customFormat="true" ht="15.75" spans="1:12">
      <c r="A204" s="91">
        <v>44</v>
      </c>
      <c r="B204" s="144" t="s">
        <v>350</v>
      </c>
      <c r="C204" s="145">
        <v>0</v>
      </c>
      <c r="D204" s="145">
        <f t="shared" si="23"/>
        <v>300</v>
      </c>
      <c r="E204" s="145">
        <v>300</v>
      </c>
      <c r="F204" s="145">
        <v>0</v>
      </c>
      <c r="G204" s="145">
        <f t="shared" si="21"/>
        <v>-300</v>
      </c>
      <c r="H204" s="145">
        <f t="shared" si="24"/>
        <v>300</v>
      </c>
      <c r="I204" s="152"/>
      <c r="J204" s="153"/>
      <c r="L204" s="154"/>
    </row>
    <row r="205" s="50" customFormat="true" ht="15.75" spans="1:12">
      <c r="A205" s="91">
        <v>45</v>
      </c>
      <c r="B205" s="144" t="s">
        <v>351</v>
      </c>
      <c r="C205" s="145">
        <v>0</v>
      </c>
      <c r="D205" s="145">
        <f t="shared" si="23"/>
        <v>300</v>
      </c>
      <c r="E205" s="145">
        <v>300</v>
      </c>
      <c r="F205" s="145">
        <v>0</v>
      </c>
      <c r="G205" s="145">
        <f t="shared" si="21"/>
        <v>-300</v>
      </c>
      <c r="H205" s="145">
        <f t="shared" si="24"/>
        <v>300</v>
      </c>
      <c r="I205" s="152"/>
      <c r="J205" s="153"/>
      <c r="L205" s="154"/>
    </row>
    <row r="206" s="50" customFormat="true" ht="15.75" spans="1:12">
      <c r="A206" s="91">
        <v>46</v>
      </c>
      <c r="B206" s="144" t="s">
        <v>352</v>
      </c>
      <c r="C206" s="145">
        <v>0</v>
      </c>
      <c r="D206" s="145">
        <f t="shared" si="23"/>
        <v>1000</v>
      </c>
      <c r="E206" s="145">
        <v>1000</v>
      </c>
      <c r="F206" s="145">
        <v>0</v>
      </c>
      <c r="G206" s="145">
        <f t="shared" si="21"/>
        <v>-1000</v>
      </c>
      <c r="H206" s="145">
        <f t="shared" si="24"/>
        <v>1000</v>
      </c>
      <c r="I206" s="152"/>
      <c r="J206" s="153"/>
      <c r="L206" s="154"/>
    </row>
    <row r="207" s="50" customFormat="true" ht="15.75" spans="1:12">
      <c r="A207" s="91">
        <v>47</v>
      </c>
      <c r="B207" s="144" t="s">
        <v>353</v>
      </c>
      <c r="C207" s="145">
        <v>0</v>
      </c>
      <c r="D207" s="145">
        <f t="shared" si="23"/>
        <v>210.0498</v>
      </c>
      <c r="E207" s="145">
        <v>0</v>
      </c>
      <c r="F207" s="145">
        <v>210.0498</v>
      </c>
      <c r="G207" s="145">
        <f t="shared" si="21"/>
        <v>-210.0498</v>
      </c>
      <c r="H207" s="145">
        <f t="shared" si="24"/>
        <v>210.0498</v>
      </c>
      <c r="I207" s="152"/>
      <c r="J207" s="153"/>
      <c r="L207" s="154"/>
    </row>
    <row r="208" s="50" customFormat="true" ht="15.75" spans="1:12">
      <c r="A208" s="91">
        <v>48</v>
      </c>
      <c r="B208" s="144" t="s">
        <v>354</v>
      </c>
      <c r="C208" s="145">
        <v>0</v>
      </c>
      <c r="D208" s="145">
        <f t="shared" si="23"/>
        <v>1110.8687</v>
      </c>
      <c r="E208" s="145">
        <v>0</v>
      </c>
      <c r="F208" s="145">
        <v>1110.8687</v>
      </c>
      <c r="G208" s="145">
        <f t="shared" si="21"/>
        <v>-1110.8687</v>
      </c>
      <c r="H208" s="145">
        <f t="shared" si="24"/>
        <v>1110.8687</v>
      </c>
      <c r="I208" s="152"/>
      <c r="J208" s="153"/>
      <c r="L208" s="154"/>
    </row>
    <row r="209" s="50" customFormat="true" ht="15.75" spans="1:12">
      <c r="A209" s="91">
        <v>49</v>
      </c>
      <c r="B209" s="144" t="s">
        <v>355</v>
      </c>
      <c r="C209" s="145">
        <v>0</v>
      </c>
      <c r="D209" s="145">
        <f t="shared" si="23"/>
        <v>450</v>
      </c>
      <c r="E209" s="145">
        <v>450</v>
      </c>
      <c r="F209" s="145">
        <v>0</v>
      </c>
      <c r="G209" s="145">
        <f t="shared" si="21"/>
        <v>-450</v>
      </c>
      <c r="H209" s="145">
        <f t="shared" si="24"/>
        <v>450</v>
      </c>
      <c r="I209" s="152"/>
      <c r="J209" s="153"/>
      <c r="L209" s="154"/>
    </row>
    <row r="210" s="50" customFormat="true" ht="15.75" spans="1:12">
      <c r="A210" s="91">
        <v>50</v>
      </c>
      <c r="B210" s="144" t="s">
        <v>356</v>
      </c>
      <c r="C210" s="145">
        <v>0</v>
      </c>
      <c r="D210" s="145">
        <f t="shared" si="23"/>
        <v>1923.68513</v>
      </c>
      <c r="E210" s="145">
        <v>1923.68254</v>
      </c>
      <c r="F210" s="145">
        <v>0.00258999999999069</v>
      </c>
      <c r="G210" s="145">
        <f t="shared" si="21"/>
        <v>-1923.68513</v>
      </c>
      <c r="H210" s="145">
        <f t="shared" si="24"/>
        <v>1923.68513</v>
      </c>
      <c r="I210" s="152"/>
      <c r="J210" s="153"/>
      <c r="L210" s="154"/>
    </row>
    <row r="211" s="50" customFormat="true" ht="15.75" spans="1:12">
      <c r="A211" s="91">
        <v>51</v>
      </c>
      <c r="B211" s="144" t="s">
        <v>357</v>
      </c>
      <c r="C211" s="145">
        <v>0</v>
      </c>
      <c r="D211" s="145">
        <f t="shared" si="23"/>
        <v>418.5154</v>
      </c>
      <c r="E211" s="145">
        <v>409.049</v>
      </c>
      <c r="F211" s="145">
        <v>9.4664</v>
      </c>
      <c r="G211" s="145">
        <f t="shared" si="21"/>
        <v>-418.5154</v>
      </c>
      <c r="H211" s="145">
        <f t="shared" si="24"/>
        <v>418.5154</v>
      </c>
      <c r="I211" s="152"/>
      <c r="J211" s="153"/>
      <c r="L211" s="154"/>
    </row>
    <row r="212" s="50" customFormat="true" ht="15.75" spans="1:12">
      <c r="A212" s="91">
        <v>52</v>
      </c>
      <c r="B212" s="144" t="s">
        <v>358</v>
      </c>
      <c r="C212" s="145">
        <v>0</v>
      </c>
      <c r="D212" s="145">
        <f t="shared" si="23"/>
        <v>500</v>
      </c>
      <c r="E212" s="145">
        <v>500</v>
      </c>
      <c r="F212" s="145">
        <v>0</v>
      </c>
      <c r="G212" s="145">
        <f t="shared" si="21"/>
        <v>-500</v>
      </c>
      <c r="H212" s="145">
        <f t="shared" si="24"/>
        <v>500</v>
      </c>
      <c r="I212" s="152"/>
      <c r="J212" s="153"/>
      <c r="L212" s="154"/>
    </row>
    <row r="213" s="50" customFormat="true" ht="15.75" spans="1:12">
      <c r="A213" s="91">
        <v>53</v>
      </c>
      <c r="B213" s="144" t="s">
        <v>359</v>
      </c>
      <c r="C213" s="145">
        <v>0</v>
      </c>
      <c r="D213" s="145">
        <f t="shared" si="23"/>
        <v>2700</v>
      </c>
      <c r="E213" s="145">
        <v>0</v>
      </c>
      <c r="F213" s="145">
        <v>2700</v>
      </c>
      <c r="G213" s="145">
        <f t="shared" si="21"/>
        <v>-2700</v>
      </c>
      <c r="H213" s="145">
        <f t="shared" si="24"/>
        <v>2700</v>
      </c>
      <c r="I213" s="152"/>
      <c r="J213" s="153"/>
      <c r="L213" s="154"/>
    </row>
    <row r="214" s="50" customFormat="true" ht="15.75" spans="1:12">
      <c r="A214" s="91">
        <v>54</v>
      </c>
      <c r="B214" s="144" t="s">
        <v>360</v>
      </c>
      <c r="C214" s="145">
        <v>0</v>
      </c>
      <c r="D214" s="145">
        <f t="shared" si="23"/>
        <v>111.4521</v>
      </c>
      <c r="E214" s="145">
        <v>37.4521</v>
      </c>
      <c r="F214" s="145">
        <v>74</v>
      </c>
      <c r="G214" s="145">
        <f t="shared" si="21"/>
        <v>-111.4521</v>
      </c>
      <c r="H214" s="145">
        <f t="shared" si="24"/>
        <v>111.4521</v>
      </c>
      <c r="I214" s="152"/>
      <c r="J214" s="153"/>
      <c r="L214" s="154"/>
    </row>
    <row r="215" s="50" customFormat="true" ht="15.75" spans="1:12">
      <c r="A215" s="91">
        <v>55</v>
      </c>
      <c r="B215" s="144" t="s">
        <v>361</v>
      </c>
      <c r="C215" s="145">
        <v>0</v>
      </c>
      <c r="D215" s="145">
        <f t="shared" si="23"/>
        <v>700</v>
      </c>
      <c r="E215" s="145">
        <v>700</v>
      </c>
      <c r="F215" s="145">
        <v>0</v>
      </c>
      <c r="G215" s="145">
        <f t="shared" si="21"/>
        <v>-700</v>
      </c>
      <c r="H215" s="145">
        <f t="shared" si="24"/>
        <v>700</v>
      </c>
      <c r="I215" s="152"/>
      <c r="J215" s="153"/>
      <c r="L215" s="154"/>
    </row>
    <row r="216" s="50" customFormat="true" ht="15.75" spans="1:10">
      <c r="A216" s="91"/>
      <c r="B216" s="90" t="s">
        <v>362</v>
      </c>
      <c r="C216" s="143">
        <f t="shared" ref="C216:H216" si="25">SUM(C217:C282)</f>
        <v>18862</v>
      </c>
      <c r="D216" s="143">
        <f t="shared" si="25"/>
        <v>106746</v>
      </c>
      <c r="E216" s="143">
        <f t="shared" si="25"/>
        <v>63025</v>
      </c>
      <c r="F216" s="143">
        <f t="shared" si="25"/>
        <v>43721</v>
      </c>
      <c r="G216" s="143">
        <f t="shared" si="25"/>
        <v>-87884</v>
      </c>
      <c r="H216" s="143">
        <f t="shared" si="25"/>
        <v>87884</v>
      </c>
      <c r="I216" s="152"/>
      <c r="J216" s="153"/>
    </row>
    <row r="217" ht="15.75" spans="1:9">
      <c r="A217" s="91">
        <v>1</v>
      </c>
      <c r="B217" s="144" t="s">
        <v>363</v>
      </c>
      <c r="C217" s="145">
        <v>10000</v>
      </c>
      <c r="D217" s="145">
        <f t="shared" ref="D217:D280" si="26">E217+F217</f>
        <v>15000</v>
      </c>
      <c r="E217" s="145">
        <v>15000</v>
      </c>
      <c r="F217" s="145"/>
      <c r="G217" s="145">
        <f t="shared" ref="G217:G280" si="27">C217-D217</f>
        <v>-5000</v>
      </c>
      <c r="H217" s="145">
        <f t="shared" ref="H217:H256" si="28">-G217</f>
        <v>5000</v>
      </c>
      <c r="I217" s="123"/>
    </row>
    <row r="218" ht="15.75" spans="1:9">
      <c r="A218" s="91">
        <v>2</v>
      </c>
      <c r="B218" s="144" t="s">
        <v>364</v>
      </c>
      <c r="C218" s="145">
        <v>0</v>
      </c>
      <c r="D218" s="145">
        <f t="shared" si="26"/>
        <v>241</v>
      </c>
      <c r="E218" s="145">
        <v>241</v>
      </c>
      <c r="F218" s="145"/>
      <c r="G218" s="145">
        <f t="shared" si="27"/>
        <v>-241</v>
      </c>
      <c r="H218" s="145">
        <f t="shared" si="28"/>
        <v>241</v>
      </c>
      <c r="I218" s="123"/>
    </row>
    <row r="219" ht="15.75" spans="1:9">
      <c r="A219" s="91">
        <v>3</v>
      </c>
      <c r="B219" s="144" t="s">
        <v>364</v>
      </c>
      <c r="C219" s="145">
        <v>0</v>
      </c>
      <c r="D219" s="145">
        <f t="shared" si="26"/>
        <v>189</v>
      </c>
      <c r="E219" s="145">
        <v>189</v>
      </c>
      <c r="F219" s="145"/>
      <c r="G219" s="145">
        <f t="shared" si="27"/>
        <v>-189</v>
      </c>
      <c r="H219" s="145">
        <f t="shared" si="28"/>
        <v>189</v>
      </c>
      <c r="I219" s="123"/>
    </row>
    <row r="220" ht="15.75" spans="1:9">
      <c r="A220" s="91">
        <v>4</v>
      </c>
      <c r="B220" s="144" t="s">
        <v>364</v>
      </c>
      <c r="C220" s="145">
        <v>0</v>
      </c>
      <c r="D220" s="145">
        <f t="shared" si="26"/>
        <v>85</v>
      </c>
      <c r="E220" s="145">
        <v>85</v>
      </c>
      <c r="F220" s="145"/>
      <c r="G220" s="145">
        <f t="shared" si="27"/>
        <v>-85</v>
      </c>
      <c r="H220" s="145">
        <f t="shared" si="28"/>
        <v>85</v>
      </c>
      <c r="I220" s="123"/>
    </row>
    <row r="221" ht="15.75" spans="1:9">
      <c r="A221" s="91">
        <v>5</v>
      </c>
      <c r="B221" s="144" t="s">
        <v>365</v>
      </c>
      <c r="C221" s="145">
        <v>0</v>
      </c>
      <c r="D221" s="145">
        <f t="shared" si="26"/>
        <v>200</v>
      </c>
      <c r="E221" s="145">
        <v>200</v>
      </c>
      <c r="F221" s="145"/>
      <c r="G221" s="145">
        <f t="shared" si="27"/>
        <v>-200</v>
      </c>
      <c r="H221" s="145">
        <f t="shared" si="28"/>
        <v>200</v>
      </c>
      <c r="I221" s="123"/>
    </row>
    <row r="222" ht="15.75" spans="1:9">
      <c r="A222" s="91">
        <v>6</v>
      </c>
      <c r="B222" s="144" t="s">
        <v>366</v>
      </c>
      <c r="C222" s="145">
        <v>0</v>
      </c>
      <c r="D222" s="145">
        <f t="shared" si="26"/>
        <v>55</v>
      </c>
      <c r="E222" s="145">
        <v>55</v>
      </c>
      <c r="F222" s="145"/>
      <c r="G222" s="145">
        <f t="shared" si="27"/>
        <v>-55</v>
      </c>
      <c r="H222" s="145">
        <f t="shared" si="28"/>
        <v>55</v>
      </c>
      <c r="I222" s="123"/>
    </row>
    <row r="223" ht="15.75" spans="1:9">
      <c r="A223" s="91">
        <v>7</v>
      </c>
      <c r="B223" s="144" t="s">
        <v>367</v>
      </c>
      <c r="C223" s="145">
        <v>0</v>
      </c>
      <c r="D223" s="145">
        <f t="shared" si="26"/>
        <v>282</v>
      </c>
      <c r="E223" s="145">
        <v>282</v>
      </c>
      <c r="F223" s="145"/>
      <c r="G223" s="145">
        <f t="shared" si="27"/>
        <v>-282</v>
      </c>
      <c r="H223" s="145">
        <f t="shared" si="28"/>
        <v>282</v>
      </c>
      <c r="I223" s="123"/>
    </row>
    <row r="224" ht="15.75" spans="1:9">
      <c r="A224" s="91">
        <v>8</v>
      </c>
      <c r="B224" s="144" t="s">
        <v>368</v>
      </c>
      <c r="C224" s="145">
        <v>0</v>
      </c>
      <c r="D224" s="145">
        <f t="shared" si="26"/>
        <v>438</v>
      </c>
      <c r="E224" s="145">
        <v>438</v>
      </c>
      <c r="F224" s="145"/>
      <c r="G224" s="145">
        <f t="shared" si="27"/>
        <v>-438</v>
      </c>
      <c r="H224" s="145">
        <f t="shared" si="28"/>
        <v>438</v>
      </c>
      <c r="I224" s="123"/>
    </row>
    <row r="225" ht="15.75" spans="1:9">
      <c r="A225" s="91">
        <v>9</v>
      </c>
      <c r="B225" s="144" t="s">
        <v>369</v>
      </c>
      <c r="C225" s="145">
        <v>0</v>
      </c>
      <c r="D225" s="145">
        <f t="shared" si="26"/>
        <v>1217</v>
      </c>
      <c r="E225" s="145">
        <v>1217</v>
      </c>
      <c r="F225" s="145"/>
      <c r="G225" s="145">
        <f t="shared" si="27"/>
        <v>-1217</v>
      </c>
      <c r="H225" s="145">
        <f t="shared" si="28"/>
        <v>1217</v>
      </c>
      <c r="I225" s="123"/>
    </row>
    <row r="226" ht="15.75" spans="1:9">
      <c r="A226" s="91">
        <v>10</v>
      </c>
      <c r="B226" s="144" t="s">
        <v>370</v>
      </c>
      <c r="C226" s="145">
        <v>0</v>
      </c>
      <c r="D226" s="145">
        <f t="shared" si="26"/>
        <v>60</v>
      </c>
      <c r="E226" s="145">
        <v>60</v>
      </c>
      <c r="F226" s="145"/>
      <c r="G226" s="145">
        <f t="shared" si="27"/>
        <v>-60</v>
      </c>
      <c r="H226" s="145">
        <f t="shared" si="28"/>
        <v>60</v>
      </c>
      <c r="I226" s="123"/>
    </row>
    <row r="227" ht="31.5" spans="1:9">
      <c r="A227" s="91">
        <v>11</v>
      </c>
      <c r="B227" s="144" t="s">
        <v>371</v>
      </c>
      <c r="C227" s="145">
        <v>0</v>
      </c>
      <c r="D227" s="145">
        <f t="shared" si="26"/>
        <v>461</v>
      </c>
      <c r="E227" s="145">
        <v>461</v>
      </c>
      <c r="F227" s="145"/>
      <c r="G227" s="145">
        <f t="shared" si="27"/>
        <v>-461</v>
      </c>
      <c r="H227" s="145">
        <f t="shared" si="28"/>
        <v>461</v>
      </c>
      <c r="I227" s="123"/>
    </row>
    <row r="228" ht="15.75" spans="1:9">
      <c r="A228" s="91">
        <v>12</v>
      </c>
      <c r="B228" s="144" t="s">
        <v>372</v>
      </c>
      <c r="C228" s="145">
        <v>0</v>
      </c>
      <c r="D228" s="145">
        <f t="shared" si="26"/>
        <v>543</v>
      </c>
      <c r="E228" s="145">
        <v>543</v>
      </c>
      <c r="F228" s="145"/>
      <c r="G228" s="145">
        <f t="shared" si="27"/>
        <v>-543</v>
      </c>
      <c r="H228" s="145">
        <f t="shared" si="28"/>
        <v>543</v>
      </c>
      <c r="I228" s="123"/>
    </row>
    <row r="229" ht="15.75" spans="1:9">
      <c r="A229" s="91">
        <v>13</v>
      </c>
      <c r="B229" s="144" t="s">
        <v>373</v>
      </c>
      <c r="C229" s="145">
        <v>0</v>
      </c>
      <c r="D229" s="145">
        <f t="shared" si="26"/>
        <v>213</v>
      </c>
      <c r="E229" s="145">
        <v>213</v>
      </c>
      <c r="F229" s="145"/>
      <c r="G229" s="145">
        <f t="shared" si="27"/>
        <v>-213</v>
      </c>
      <c r="H229" s="145">
        <f t="shared" si="28"/>
        <v>213</v>
      </c>
      <c r="I229" s="123"/>
    </row>
    <row r="230" ht="15.75" spans="1:9">
      <c r="A230" s="91">
        <v>14</v>
      </c>
      <c r="B230" s="144" t="s">
        <v>374</v>
      </c>
      <c r="C230" s="145">
        <v>0</v>
      </c>
      <c r="D230" s="145">
        <f t="shared" si="26"/>
        <v>800</v>
      </c>
      <c r="E230" s="145">
        <v>800</v>
      </c>
      <c r="F230" s="145"/>
      <c r="G230" s="145">
        <f t="shared" si="27"/>
        <v>-800</v>
      </c>
      <c r="H230" s="145">
        <f t="shared" si="28"/>
        <v>800</v>
      </c>
      <c r="I230" s="123"/>
    </row>
    <row r="231" ht="15.75" spans="1:9">
      <c r="A231" s="91">
        <v>15</v>
      </c>
      <c r="B231" s="144" t="s">
        <v>375</v>
      </c>
      <c r="C231" s="145">
        <v>0</v>
      </c>
      <c r="D231" s="145">
        <f t="shared" si="26"/>
        <v>88</v>
      </c>
      <c r="E231" s="145">
        <v>88</v>
      </c>
      <c r="F231" s="145"/>
      <c r="G231" s="145">
        <f t="shared" si="27"/>
        <v>-88</v>
      </c>
      <c r="H231" s="145">
        <f t="shared" si="28"/>
        <v>88</v>
      </c>
      <c r="I231" s="123"/>
    </row>
    <row r="232" ht="15.75" spans="1:9">
      <c r="A232" s="91">
        <v>16</v>
      </c>
      <c r="B232" s="144" t="s">
        <v>376</v>
      </c>
      <c r="C232" s="145">
        <v>0</v>
      </c>
      <c r="D232" s="145">
        <f t="shared" si="26"/>
        <v>3900</v>
      </c>
      <c r="E232" s="145">
        <v>3900</v>
      </c>
      <c r="F232" s="145"/>
      <c r="G232" s="145">
        <f t="shared" si="27"/>
        <v>-3900</v>
      </c>
      <c r="H232" s="145">
        <f t="shared" si="28"/>
        <v>3900</v>
      </c>
      <c r="I232" s="123"/>
    </row>
    <row r="233" ht="15.75" spans="1:9">
      <c r="A233" s="91">
        <v>17</v>
      </c>
      <c r="B233" s="144" t="s">
        <v>376</v>
      </c>
      <c r="C233" s="145">
        <v>0</v>
      </c>
      <c r="D233" s="145">
        <f t="shared" si="26"/>
        <v>1700</v>
      </c>
      <c r="E233" s="145">
        <v>1700</v>
      </c>
      <c r="F233" s="145"/>
      <c r="G233" s="145">
        <f t="shared" si="27"/>
        <v>-1700</v>
      </c>
      <c r="H233" s="145">
        <f t="shared" si="28"/>
        <v>1700</v>
      </c>
      <c r="I233" s="123"/>
    </row>
    <row r="234" ht="15.75" spans="1:9">
      <c r="A234" s="91">
        <v>18</v>
      </c>
      <c r="B234" s="144" t="s">
        <v>377</v>
      </c>
      <c r="C234" s="145">
        <v>0</v>
      </c>
      <c r="D234" s="145">
        <f t="shared" si="26"/>
        <v>540</v>
      </c>
      <c r="E234" s="145">
        <v>540</v>
      </c>
      <c r="F234" s="145"/>
      <c r="G234" s="145">
        <f t="shared" si="27"/>
        <v>-540</v>
      </c>
      <c r="H234" s="145">
        <f t="shared" si="28"/>
        <v>540</v>
      </c>
      <c r="I234" s="123"/>
    </row>
    <row r="235" ht="15.75" spans="1:9">
      <c r="A235" s="91">
        <v>19</v>
      </c>
      <c r="B235" s="144" t="s">
        <v>378</v>
      </c>
      <c r="C235" s="145">
        <v>0</v>
      </c>
      <c r="D235" s="145">
        <f t="shared" si="26"/>
        <v>1537</v>
      </c>
      <c r="E235" s="145">
        <f>1537</f>
        <v>1537</v>
      </c>
      <c r="F235" s="145"/>
      <c r="G235" s="145">
        <f t="shared" si="27"/>
        <v>-1537</v>
      </c>
      <c r="H235" s="145">
        <f t="shared" si="28"/>
        <v>1537</v>
      </c>
      <c r="I235" s="123"/>
    </row>
    <row r="236" ht="15.75" spans="1:9">
      <c r="A236" s="91">
        <v>20</v>
      </c>
      <c r="B236" s="144" t="s">
        <v>379</v>
      </c>
      <c r="C236" s="145">
        <v>0</v>
      </c>
      <c r="D236" s="145">
        <f t="shared" si="26"/>
        <v>290</v>
      </c>
      <c r="E236" s="145">
        <v>290</v>
      </c>
      <c r="F236" s="145"/>
      <c r="G236" s="145">
        <f t="shared" si="27"/>
        <v>-290</v>
      </c>
      <c r="H236" s="145">
        <f t="shared" si="28"/>
        <v>290</v>
      </c>
      <c r="I236" s="123"/>
    </row>
    <row r="237" ht="15.75" spans="1:9">
      <c r="A237" s="91">
        <v>21</v>
      </c>
      <c r="B237" s="144" t="s">
        <v>380</v>
      </c>
      <c r="C237" s="145">
        <v>0</v>
      </c>
      <c r="D237" s="145">
        <f t="shared" si="26"/>
        <v>3862</v>
      </c>
      <c r="E237" s="145">
        <v>3862</v>
      </c>
      <c r="F237" s="145"/>
      <c r="G237" s="145">
        <f t="shared" si="27"/>
        <v>-3862</v>
      </c>
      <c r="H237" s="145">
        <f t="shared" si="28"/>
        <v>3862</v>
      </c>
      <c r="I237" s="123"/>
    </row>
    <row r="238" ht="15.75" spans="1:9">
      <c r="A238" s="91">
        <v>22</v>
      </c>
      <c r="B238" s="144" t="s">
        <v>381</v>
      </c>
      <c r="C238" s="145">
        <v>0</v>
      </c>
      <c r="D238" s="145">
        <f t="shared" si="26"/>
        <v>118</v>
      </c>
      <c r="E238" s="145">
        <v>118</v>
      </c>
      <c r="F238" s="145"/>
      <c r="G238" s="145">
        <f t="shared" si="27"/>
        <v>-118</v>
      </c>
      <c r="H238" s="145">
        <f t="shared" si="28"/>
        <v>118</v>
      </c>
      <c r="I238" s="123"/>
    </row>
    <row r="239" ht="15.75" spans="1:9">
      <c r="A239" s="91">
        <v>23</v>
      </c>
      <c r="B239" s="144" t="s">
        <v>382</v>
      </c>
      <c r="C239" s="145">
        <v>0</v>
      </c>
      <c r="D239" s="145">
        <f t="shared" si="26"/>
        <v>415</v>
      </c>
      <c r="E239" s="145">
        <v>415</v>
      </c>
      <c r="F239" s="145"/>
      <c r="G239" s="145">
        <f t="shared" si="27"/>
        <v>-415</v>
      </c>
      <c r="H239" s="145">
        <f t="shared" si="28"/>
        <v>415</v>
      </c>
      <c r="I239" s="123"/>
    </row>
    <row r="240" ht="15.75" spans="1:9">
      <c r="A240" s="91">
        <v>24</v>
      </c>
      <c r="B240" s="144" t="s">
        <v>383</v>
      </c>
      <c r="C240" s="145">
        <v>0</v>
      </c>
      <c r="D240" s="145">
        <f t="shared" si="26"/>
        <v>213</v>
      </c>
      <c r="E240" s="145">
        <v>213</v>
      </c>
      <c r="F240" s="145"/>
      <c r="G240" s="145">
        <f t="shared" si="27"/>
        <v>-213</v>
      </c>
      <c r="H240" s="145">
        <f t="shared" si="28"/>
        <v>213</v>
      </c>
      <c r="I240" s="123"/>
    </row>
    <row r="241" ht="15.75" spans="1:9">
      <c r="A241" s="91">
        <v>25</v>
      </c>
      <c r="B241" s="144" t="s">
        <v>384</v>
      </c>
      <c r="C241" s="145">
        <v>0</v>
      </c>
      <c r="D241" s="145">
        <f t="shared" si="26"/>
        <v>628</v>
      </c>
      <c r="E241" s="145">
        <v>628</v>
      </c>
      <c r="F241" s="145"/>
      <c r="G241" s="145">
        <f t="shared" si="27"/>
        <v>-628</v>
      </c>
      <c r="H241" s="145">
        <f t="shared" si="28"/>
        <v>628</v>
      </c>
      <c r="I241" s="123"/>
    </row>
    <row r="242" ht="15.75" spans="1:9">
      <c r="A242" s="91">
        <v>26</v>
      </c>
      <c r="B242" s="144" t="s">
        <v>385</v>
      </c>
      <c r="C242" s="145">
        <v>0</v>
      </c>
      <c r="D242" s="145">
        <f t="shared" si="26"/>
        <v>423</v>
      </c>
      <c r="E242" s="145">
        <v>423</v>
      </c>
      <c r="F242" s="145"/>
      <c r="G242" s="145">
        <f t="shared" si="27"/>
        <v>-423</v>
      </c>
      <c r="H242" s="145">
        <f t="shared" si="28"/>
        <v>423</v>
      </c>
      <c r="I242" s="123"/>
    </row>
    <row r="243" ht="15.75" spans="1:9">
      <c r="A243" s="91">
        <v>27</v>
      </c>
      <c r="B243" s="144" t="s">
        <v>386</v>
      </c>
      <c r="C243" s="145">
        <v>0</v>
      </c>
      <c r="D243" s="145">
        <f t="shared" si="26"/>
        <v>250</v>
      </c>
      <c r="E243" s="145">
        <v>250</v>
      </c>
      <c r="F243" s="145"/>
      <c r="G243" s="145">
        <f t="shared" si="27"/>
        <v>-250</v>
      </c>
      <c r="H243" s="145">
        <f t="shared" si="28"/>
        <v>250</v>
      </c>
      <c r="I243" s="123"/>
    </row>
    <row r="244" ht="15.75" spans="1:9">
      <c r="A244" s="91">
        <v>28</v>
      </c>
      <c r="B244" s="144" t="s">
        <v>387</v>
      </c>
      <c r="C244" s="145">
        <v>0</v>
      </c>
      <c r="D244" s="145">
        <f t="shared" si="26"/>
        <v>105</v>
      </c>
      <c r="E244" s="145">
        <v>105</v>
      </c>
      <c r="F244" s="145"/>
      <c r="G244" s="145">
        <f t="shared" si="27"/>
        <v>-105</v>
      </c>
      <c r="H244" s="145">
        <f t="shared" si="28"/>
        <v>105</v>
      </c>
      <c r="I244" s="123"/>
    </row>
    <row r="245" ht="15.75" spans="1:9">
      <c r="A245" s="91">
        <v>29</v>
      </c>
      <c r="B245" s="144" t="s">
        <v>388</v>
      </c>
      <c r="C245" s="145">
        <v>0</v>
      </c>
      <c r="D245" s="145">
        <f t="shared" si="26"/>
        <v>500</v>
      </c>
      <c r="E245" s="145">
        <v>500</v>
      </c>
      <c r="F245" s="145"/>
      <c r="G245" s="145">
        <f t="shared" si="27"/>
        <v>-500</v>
      </c>
      <c r="H245" s="145">
        <f t="shared" si="28"/>
        <v>500</v>
      </c>
      <c r="I245" s="123"/>
    </row>
    <row r="246" ht="15.75" spans="1:9">
      <c r="A246" s="91">
        <v>30</v>
      </c>
      <c r="B246" s="144" t="s">
        <v>389</v>
      </c>
      <c r="C246" s="145">
        <v>0</v>
      </c>
      <c r="D246" s="145">
        <f t="shared" si="26"/>
        <v>106</v>
      </c>
      <c r="E246" s="145">
        <v>106</v>
      </c>
      <c r="F246" s="145"/>
      <c r="G246" s="145">
        <f t="shared" si="27"/>
        <v>-106</v>
      </c>
      <c r="H246" s="145">
        <f t="shared" si="28"/>
        <v>106</v>
      </c>
      <c r="I246" s="123"/>
    </row>
    <row r="247" ht="15.75" spans="1:9">
      <c r="A247" s="91">
        <v>31</v>
      </c>
      <c r="B247" s="144" t="s">
        <v>390</v>
      </c>
      <c r="C247" s="145">
        <v>0</v>
      </c>
      <c r="D247" s="145">
        <f t="shared" si="26"/>
        <v>1960</v>
      </c>
      <c r="E247" s="145">
        <v>1960</v>
      </c>
      <c r="F247" s="145"/>
      <c r="G247" s="145">
        <f t="shared" si="27"/>
        <v>-1960</v>
      </c>
      <c r="H247" s="145">
        <f t="shared" si="28"/>
        <v>1960</v>
      </c>
      <c r="I247" s="123"/>
    </row>
    <row r="248" ht="15.75" spans="1:9">
      <c r="A248" s="91">
        <v>32</v>
      </c>
      <c r="B248" s="144" t="s">
        <v>391</v>
      </c>
      <c r="C248" s="145">
        <v>0</v>
      </c>
      <c r="D248" s="145">
        <f t="shared" si="26"/>
        <v>1300</v>
      </c>
      <c r="E248" s="145">
        <v>1300</v>
      </c>
      <c r="F248" s="145"/>
      <c r="G248" s="145">
        <f t="shared" si="27"/>
        <v>-1300</v>
      </c>
      <c r="H248" s="145">
        <f t="shared" si="28"/>
        <v>1300</v>
      </c>
      <c r="I248" s="123"/>
    </row>
    <row r="249" ht="15.75" spans="1:9">
      <c r="A249" s="91">
        <v>33</v>
      </c>
      <c r="B249" s="144" t="s">
        <v>391</v>
      </c>
      <c r="C249" s="145">
        <v>0</v>
      </c>
      <c r="D249" s="145">
        <f t="shared" si="26"/>
        <v>2000</v>
      </c>
      <c r="E249" s="145">
        <v>2000</v>
      </c>
      <c r="F249" s="145"/>
      <c r="G249" s="145">
        <f t="shared" si="27"/>
        <v>-2000</v>
      </c>
      <c r="H249" s="145">
        <f t="shared" si="28"/>
        <v>2000</v>
      </c>
      <c r="I249" s="123"/>
    </row>
    <row r="250" ht="15.75" spans="1:9">
      <c r="A250" s="91">
        <v>34</v>
      </c>
      <c r="B250" s="144" t="s">
        <v>391</v>
      </c>
      <c r="C250" s="145">
        <v>0</v>
      </c>
      <c r="D250" s="145">
        <f t="shared" si="26"/>
        <v>1000</v>
      </c>
      <c r="E250" s="145">
        <v>1000</v>
      </c>
      <c r="F250" s="145"/>
      <c r="G250" s="145">
        <f t="shared" si="27"/>
        <v>-1000</v>
      </c>
      <c r="H250" s="145">
        <f t="shared" si="28"/>
        <v>1000</v>
      </c>
      <c r="I250" s="123"/>
    </row>
    <row r="251" ht="15.75" spans="1:9">
      <c r="A251" s="91">
        <v>35</v>
      </c>
      <c r="B251" s="144" t="s">
        <v>391</v>
      </c>
      <c r="C251" s="145">
        <v>0</v>
      </c>
      <c r="D251" s="145">
        <f t="shared" si="26"/>
        <v>1000</v>
      </c>
      <c r="E251" s="145">
        <v>1000</v>
      </c>
      <c r="F251" s="145"/>
      <c r="G251" s="145">
        <f t="shared" si="27"/>
        <v>-1000</v>
      </c>
      <c r="H251" s="145">
        <f t="shared" si="28"/>
        <v>1000</v>
      </c>
      <c r="I251" s="123"/>
    </row>
    <row r="252" ht="15.75" spans="1:9">
      <c r="A252" s="91">
        <v>36</v>
      </c>
      <c r="B252" s="144" t="s">
        <v>391</v>
      </c>
      <c r="C252" s="145">
        <v>0</v>
      </c>
      <c r="D252" s="145">
        <f t="shared" si="26"/>
        <v>2500</v>
      </c>
      <c r="E252" s="145">
        <v>2500</v>
      </c>
      <c r="F252" s="145"/>
      <c r="G252" s="145">
        <f t="shared" si="27"/>
        <v>-2500</v>
      </c>
      <c r="H252" s="145">
        <f t="shared" si="28"/>
        <v>2500</v>
      </c>
      <c r="I252" s="123"/>
    </row>
    <row r="253" ht="15.75" spans="1:9">
      <c r="A253" s="91">
        <v>37</v>
      </c>
      <c r="B253" s="144" t="s">
        <v>391</v>
      </c>
      <c r="C253" s="145">
        <v>0</v>
      </c>
      <c r="D253" s="145">
        <f t="shared" si="26"/>
        <v>845</v>
      </c>
      <c r="E253" s="145">
        <v>845</v>
      </c>
      <c r="F253" s="145"/>
      <c r="G253" s="145">
        <f t="shared" si="27"/>
        <v>-845</v>
      </c>
      <c r="H253" s="145">
        <f t="shared" si="28"/>
        <v>845</v>
      </c>
      <c r="I253" s="123"/>
    </row>
    <row r="254" ht="15.75" spans="1:9">
      <c r="A254" s="91">
        <v>38</v>
      </c>
      <c r="B254" s="144" t="s">
        <v>391</v>
      </c>
      <c r="C254" s="145">
        <v>0</v>
      </c>
      <c r="D254" s="145">
        <f t="shared" si="26"/>
        <v>238</v>
      </c>
      <c r="E254" s="145">
        <v>238</v>
      </c>
      <c r="F254" s="145"/>
      <c r="G254" s="145">
        <f t="shared" si="27"/>
        <v>-238</v>
      </c>
      <c r="H254" s="145">
        <f t="shared" si="28"/>
        <v>238</v>
      </c>
      <c r="I254" s="123"/>
    </row>
    <row r="255" ht="15.75" spans="1:9">
      <c r="A255" s="91">
        <v>39</v>
      </c>
      <c r="B255" s="144" t="s">
        <v>392</v>
      </c>
      <c r="C255" s="145">
        <v>0</v>
      </c>
      <c r="D255" s="145">
        <f t="shared" si="26"/>
        <v>2120</v>
      </c>
      <c r="E255" s="145">
        <v>2120</v>
      </c>
      <c r="F255" s="145"/>
      <c r="G255" s="145">
        <f t="shared" si="27"/>
        <v>-2120</v>
      </c>
      <c r="H255" s="145">
        <f t="shared" si="28"/>
        <v>2120</v>
      </c>
      <c r="I255" s="123"/>
    </row>
    <row r="256" ht="15.75" spans="1:9">
      <c r="A256" s="91">
        <v>40</v>
      </c>
      <c r="B256" s="144" t="s">
        <v>392</v>
      </c>
      <c r="C256" s="145">
        <v>0</v>
      </c>
      <c r="D256" s="145">
        <f t="shared" si="26"/>
        <v>149</v>
      </c>
      <c r="E256" s="145">
        <v>149</v>
      </c>
      <c r="F256" s="145"/>
      <c r="G256" s="145">
        <f t="shared" si="27"/>
        <v>-149</v>
      </c>
      <c r="H256" s="145">
        <f t="shared" si="28"/>
        <v>149</v>
      </c>
      <c r="I256" s="123"/>
    </row>
    <row r="257" ht="15.75" spans="1:9">
      <c r="A257" s="91">
        <v>41</v>
      </c>
      <c r="B257" s="144" t="s">
        <v>393</v>
      </c>
      <c r="C257" s="145">
        <v>0</v>
      </c>
      <c r="D257" s="145">
        <f t="shared" si="26"/>
        <v>1000</v>
      </c>
      <c r="E257" s="145">
        <v>1000</v>
      </c>
      <c r="F257" s="145"/>
      <c r="G257" s="145">
        <f t="shared" si="27"/>
        <v>-1000</v>
      </c>
      <c r="H257" s="145">
        <v>1000</v>
      </c>
      <c r="I257" s="123"/>
    </row>
    <row r="258" ht="15.75" spans="1:9">
      <c r="A258" s="91">
        <v>42</v>
      </c>
      <c r="B258" s="144" t="s">
        <v>393</v>
      </c>
      <c r="C258" s="145">
        <v>0</v>
      </c>
      <c r="D258" s="145">
        <f t="shared" si="26"/>
        <v>2200</v>
      </c>
      <c r="E258" s="145">
        <v>2200</v>
      </c>
      <c r="F258" s="145"/>
      <c r="G258" s="145">
        <f t="shared" si="27"/>
        <v>-2200</v>
      </c>
      <c r="H258" s="145">
        <f t="shared" ref="H258:H282" si="29">-G258</f>
        <v>2200</v>
      </c>
      <c r="I258" s="123"/>
    </row>
    <row r="259" ht="15.75" spans="1:9">
      <c r="A259" s="91">
        <v>43</v>
      </c>
      <c r="B259" s="144" t="s">
        <v>394</v>
      </c>
      <c r="C259" s="145">
        <v>0</v>
      </c>
      <c r="D259" s="145">
        <f t="shared" si="26"/>
        <v>762</v>
      </c>
      <c r="E259" s="145">
        <v>762</v>
      </c>
      <c r="F259" s="145"/>
      <c r="G259" s="145">
        <f t="shared" si="27"/>
        <v>-762</v>
      </c>
      <c r="H259" s="145">
        <f t="shared" si="29"/>
        <v>762</v>
      </c>
      <c r="I259" s="123"/>
    </row>
    <row r="260" ht="15.75" spans="1:9">
      <c r="A260" s="91">
        <v>44</v>
      </c>
      <c r="B260" s="144" t="s">
        <v>395</v>
      </c>
      <c r="C260" s="145">
        <v>0</v>
      </c>
      <c r="D260" s="145">
        <f t="shared" si="26"/>
        <v>100</v>
      </c>
      <c r="E260" s="145">
        <v>100</v>
      </c>
      <c r="F260" s="145"/>
      <c r="G260" s="145">
        <f t="shared" si="27"/>
        <v>-100</v>
      </c>
      <c r="H260" s="145">
        <f t="shared" si="29"/>
        <v>100</v>
      </c>
      <c r="I260" s="123"/>
    </row>
    <row r="261" ht="15.75" spans="1:9">
      <c r="A261" s="91">
        <v>45</v>
      </c>
      <c r="B261" s="144" t="s">
        <v>396</v>
      </c>
      <c r="C261" s="145">
        <v>0</v>
      </c>
      <c r="D261" s="145">
        <f t="shared" si="26"/>
        <v>485</v>
      </c>
      <c r="E261" s="145">
        <v>485</v>
      </c>
      <c r="F261" s="145"/>
      <c r="G261" s="145">
        <f t="shared" si="27"/>
        <v>-485</v>
      </c>
      <c r="H261" s="145">
        <f t="shared" si="29"/>
        <v>485</v>
      </c>
      <c r="I261" s="123"/>
    </row>
    <row r="262" ht="15.75" spans="1:9">
      <c r="A262" s="91">
        <v>46</v>
      </c>
      <c r="B262" s="144" t="s">
        <v>397</v>
      </c>
      <c r="C262" s="145">
        <v>0</v>
      </c>
      <c r="D262" s="145">
        <f t="shared" si="26"/>
        <v>258</v>
      </c>
      <c r="E262" s="145">
        <v>258</v>
      </c>
      <c r="F262" s="145"/>
      <c r="G262" s="145">
        <f t="shared" si="27"/>
        <v>-258</v>
      </c>
      <c r="H262" s="145">
        <f t="shared" si="29"/>
        <v>258</v>
      </c>
      <c r="I262" s="123"/>
    </row>
    <row r="263" ht="15.75" spans="1:9">
      <c r="A263" s="91">
        <v>47</v>
      </c>
      <c r="B263" s="144" t="s">
        <v>398</v>
      </c>
      <c r="C263" s="145">
        <v>0</v>
      </c>
      <c r="D263" s="145">
        <f t="shared" si="26"/>
        <v>114</v>
      </c>
      <c r="E263" s="145">
        <v>114</v>
      </c>
      <c r="F263" s="145"/>
      <c r="G263" s="145">
        <f t="shared" si="27"/>
        <v>-114</v>
      </c>
      <c r="H263" s="145">
        <f t="shared" si="29"/>
        <v>114</v>
      </c>
      <c r="I263" s="123"/>
    </row>
    <row r="264" ht="15.75" spans="1:9">
      <c r="A264" s="91">
        <v>48</v>
      </c>
      <c r="B264" s="144" t="s">
        <v>399</v>
      </c>
      <c r="C264" s="145">
        <v>0</v>
      </c>
      <c r="D264" s="145">
        <f t="shared" si="26"/>
        <v>270</v>
      </c>
      <c r="E264" s="145">
        <v>270</v>
      </c>
      <c r="F264" s="145"/>
      <c r="G264" s="145">
        <f t="shared" si="27"/>
        <v>-270</v>
      </c>
      <c r="H264" s="145">
        <f t="shared" si="29"/>
        <v>270</v>
      </c>
      <c r="I264" s="123"/>
    </row>
    <row r="265" ht="15.75" spans="1:9">
      <c r="A265" s="91">
        <v>49</v>
      </c>
      <c r="B265" s="144" t="s">
        <v>400</v>
      </c>
      <c r="C265" s="145">
        <v>0</v>
      </c>
      <c r="D265" s="145">
        <f t="shared" si="26"/>
        <v>155</v>
      </c>
      <c r="E265" s="145">
        <v>155</v>
      </c>
      <c r="F265" s="145"/>
      <c r="G265" s="145">
        <f t="shared" si="27"/>
        <v>-155</v>
      </c>
      <c r="H265" s="145">
        <f t="shared" si="29"/>
        <v>155</v>
      </c>
      <c r="I265" s="123"/>
    </row>
    <row r="266" ht="15.75" spans="1:9">
      <c r="A266" s="91">
        <v>50</v>
      </c>
      <c r="B266" s="144" t="s">
        <v>401</v>
      </c>
      <c r="C266" s="145">
        <v>0</v>
      </c>
      <c r="D266" s="145">
        <f t="shared" si="26"/>
        <v>105</v>
      </c>
      <c r="E266" s="145">
        <v>105</v>
      </c>
      <c r="F266" s="145"/>
      <c r="G266" s="145">
        <f t="shared" si="27"/>
        <v>-105</v>
      </c>
      <c r="H266" s="145">
        <f t="shared" si="29"/>
        <v>105</v>
      </c>
      <c r="I266" s="123"/>
    </row>
    <row r="267" ht="15.75" spans="1:9">
      <c r="A267" s="91">
        <v>51</v>
      </c>
      <c r="B267" s="144" t="s">
        <v>393</v>
      </c>
      <c r="C267" s="145">
        <v>0</v>
      </c>
      <c r="D267" s="145">
        <f t="shared" si="26"/>
        <v>2027</v>
      </c>
      <c r="E267" s="145">
        <v>2027</v>
      </c>
      <c r="F267" s="145"/>
      <c r="G267" s="145">
        <f t="shared" si="27"/>
        <v>-2027</v>
      </c>
      <c r="H267" s="145">
        <f t="shared" si="29"/>
        <v>2027</v>
      </c>
      <c r="I267" s="123"/>
    </row>
    <row r="268" ht="15.75" spans="1:9">
      <c r="A268" s="91">
        <v>52</v>
      </c>
      <c r="B268" s="144" t="s">
        <v>402</v>
      </c>
      <c r="C268" s="145">
        <v>0</v>
      </c>
      <c r="D268" s="145">
        <f t="shared" si="26"/>
        <v>116</v>
      </c>
      <c r="E268" s="145">
        <v>116</v>
      </c>
      <c r="F268" s="145"/>
      <c r="G268" s="145">
        <f t="shared" si="27"/>
        <v>-116</v>
      </c>
      <c r="H268" s="145">
        <f t="shared" si="29"/>
        <v>116</v>
      </c>
      <c r="I268" s="123"/>
    </row>
    <row r="269" ht="15.75" spans="1:9">
      <c r="A269" s="91">
        <v>53</v>
      </c>
      <c r="B269" s="144" t="s">
        <v>401</v>
      </c>
      <c r="C269" s="145">
        <v>0</v>
      </c>
      <c r="D269" s="145">
        <f t="shared" si="26"/>
        <v>115</v>
      </c>
      <c r="E269" s="145">
        <v>115</v>
      </c>
      <c r="F269" s="145"/>
      <c r="G269" s="145">
        <f t="shared" si="27"/>
        <v>-115</v>
      </c>
      <c r="H269" s="145">
        <f t="shared" si="29"/>
        <v>115</v>
      </c>
      <c r="I269" s="123"/>
    </row>
    <row r="270" ht="15.75" spans="1:9">
      <c r="A270" s="91">
        <v>54</v>
      </c>
      <c r="B270" s="144" t="s">
        <v>403</v>
      </c>
      <c r="C270" s="145">
        <v>0</v>
      </c>
      <c r="D270" s="145">
        <f t="shared" si="26"/>
        <v>900</v>
      </c>
      <c r="E270" s="145"/>
      <c r="F270" s="145">
        <v>900</v>
      </c>
      <c r="G270" s="145">
        <f t="shared" si="27"/>
        <v>-900</v>
      </c>
      <c r="H270" s="145">
        <f t="shared" si="29"/>
        <v>900</v>
      </c>
      <c r="I270" s="123"/>
    </row>
    <row r="271" ht="15.75" spans="1:9">
      <c r="A271" s="91">
        <v>55</v>
      </c>
      <c r="B271" s="144" t="s">
        <v>404</v>
      </c>
      <c r="C271" s="145">
        <v>0</v>
      </c>
      <c r="D271" s="145">
        <f t="shared" si="26"/>
        <v>12000</v>
      </c>
      <c r="E271" s="145"/>
      <c r="F271" s="145">
        <v>12000</v>
      </c>
      <c r="G271" s="145">
        <f t="shared" si="27"/>
        <v>-12000</v>
      </c>
      <c r="H271" s="145">
        <f t="shared" si="29"/>
        <v>12000</v>
      </c>
      <c r="I271" s="123"/>
    </row>
    <row r="272" ht="15.75" spans="1:9">
      <c r="A272" s="91">
        <v>56</v>
      </c>
      <c r="B272" s="144" t="s">
        <v>405</v>
      </c>
      <c r="C272" s="145">
        <v>0</v>
      </c>
      <c r="D272" s="145">
        <f t="shared" si="26"/>
        <v>161</v>
      </c>
      <c r="E272" s="145"/>
      <c r="F272" s="145">
        <v>161</v>
      </c>
      <c r="G272" s="145">
        <f t="shared" si="27"/>
        <v>-161</v>
      </c>
      <c r="H272" s="145">
        <f t="shared" si="29"/>
        <v>161</v>
      </c>
      <c r="I272" s="123"/>
    </row>
    <row r="273" ht="15.75" spans="1:9">
      <c r="A273" s="91">
        <v>57</v>
      </c>
      <c r="B273" s="144" t="s">
        <v>406</v>
      </c>
      <c r="C273" s="145">
        <v>0</v>
      </c>
      <c r="D273" s="145">
        <f t="shared" si="26"/>
        <v>10736</v>
      </c>
      <c r="E273" s="145"/>
      <c r="F273" s="145">
        <v>10736</v>
      </c>
      <c r="G273" s="145">
        <f t="shared" si="27"/>
        <v>-10736</v>
      </c>
      <c r="H273" s="145">
        <f t="shared" si="29"/>
        <v>10736</v>
      </c>
      <c r="I273" s="123"/>
    </row>
    <row r="274" ht="15.75" spans="1:9">
      <c r="A274" s="91">
        <v>58</v>
      </c>
      <c r="B274" s="144" t="s">
        <v>405</v>
      </c>
      <c r="C274" s="145">
        <v>0</v>
      </c>
      <c r="D274" s="145">
        <f t="shared" si="26"/>
        <v>2888</v>
      </c>
      <c r="E274" s="145"/>
      <c r="F274" s="145">
        <v>2888</v>
      </c>
      <c r="G274" s="145">
        <f t="shared" si="27"/>
        <v>-2888</v>
      </c>
      <c r="H274" s="145">
        <f t="shared" si="29"/>
        <v>2888</v>
      </c>
      <c r="I274" s="123"/>
    </row>
    <row r="275" ht="15.75" spans="1:9">
      <c r="A275" s="91">
        <v>59</v>
      </c>
      <c r="B275" s="144" t="s">
        <v>405</v>
      </c>
      <c r="C275" s="145">
        <v>0</v>
      </c>
      <c r="D275" s="145">
        <f t="shared" si="26"/>
        <v>15</v>
      </c>
      <c r="E275" s="145"/>
      <c r="F275" s="145">
        <v>15</v>
      </c>
      <c r="G275" s="145">
        <f t="shared" si="27"/>
        <v>-15</v>
      </c>
      <c r="H275" s="145">
        <f t="shared" si="29"/>
        <v>15</v>
      </c>
      <c r="I275" s="123"/>
    </row>
    <row r="276" ht="15.75" spans="1:9">
      <c r="A276" s="91">
        <v>60</v>
      </c>
      <c r="B276" s="144" t="s">
        <v>405</v>
      </c>
      <c r="C276" s="145">
        <v>0</v>
      </c>
      <c r="D276" s="145">
        <f t="shared" si="26"/>
        <v>3030</v>
      </c>
      <c r="E276" s="145"/>
      <c r="F276" s="145">
        <v>3030</v>
      </c>
      <c r="G276" s="145">
        <f t="shared" si="27"/>
        <v>-3030</v>
      </c>
      <c r="H276" s="145">
        <f t="shared" si="29"/>
        <v>3030</v>
      </c>
      <c r="I276" s="123"/>
    </row>
    <row r="277" ht="15.75" spans="1:9">
      <c r="A277" s="91">
        <v>61</v>
      </c>
      <c r="B277" s="144" t="s">
        <v>405</v>
      </c>
      <c r="C277" s="145">
        <v>0</v>
      </c>
      <c r="D277" s="145">
        <f t="shared" si="26"/>
        <v>1327</v>
      </c>
      <c r="E277" s="145"/>
      <c r="F277" s="145">
        <v>1327</v>
      </c>
      <c r="G277" s="145">
        <f t="shared" si="27"/>
        <v>-1327</v>
      </c>
      <c r="H277" s="145">
        <f t="shared" si="29"/>
        <v>1327</v>
      </c>
      <c r="I277" s="123"/>
    </row>
    <row r="278" ht="15.75" spans="1:9">
      <c r="A278" s="91">
        <v>62</v>
      </c>
      <c r="B278" s="144" t="s">
        <v>405</v>
      </c>
      <c r="C278" s="145">
        <v>0</v>
      </c>
      <c r="D278" s="145">
        <f t="shared" si="26"/>
        <v>3497</v>
      </c>
      <c r="E278" s="145"/>
      <c r="F278" s="145">
        <v>3497</v>
      </c>
      <c r="G278" s="145">
        <f t="shared" si="27"/>
        <v>-3497</v>
      </c>
      <c r="H278" s="145">
        <f t="shared" si="29"/>
        <v>3497</v>
      </c>
      <c r="I278" s="123"/>
    </row>
    <row r="279" ht="15.75" spans="1:9">
      <c r="A279" s="91">
        <v>63</v>
      </c>
      <c r="B279" s="144" t="s">
        <v>407</v>
      </c>
      <c r="C279" s="145">
        <v>0</v>
      </c>
      <c r="D279" s="145">
        <f t="shared" si="26"/>
        <v>6800</v>
      </c>
      <c r="E279" s="145"/>
      <c r="F279" s="145">
        <v>6800</v>
      </c>
      <c r="G279" s="145">
        <f t="shared" si="27"/>
        <v>-6800</v>
      </c>
      <c r="H279" s="145">
        <f t="shared" si="29"/>
        <v>6800</v>
      </c>
      <c r="I279" s="123"/>
    </row>
    <row r="280" ht="15.75" spans="1:9">
      <c r="A280" s="91">
        <v>64</v>
      </c>
      <c r="B280" s="144" t="s">
        <v>408</v>
      </c>
      <c r="C280" s="145">
        <v>0</v>
      </c>
      <c r="D280" s="145">
        <f t="shared" si="26"/>
        <v>315</v>
      </c>
      <c r="E280" s="145"/>
      <c r="F280" s="145">
        <v>315</v>
      </c>
      <c r="G280" s="145">
        <f t="shared" si="27"/>
        <v>-315</v>
      </c>
      <c r="H280" s="145">
        <f t="shared" si="29"/>
        <v>315</v>
      </c>
      <c r="I280" s="123"/>
    </row>
    <row r="281" ht="15.75" spans="1:9">
      <c r="A281" s="91">
        <v>65</v>
      </c>
      <c r="B281" s="144" t="s">
        <v>409</v>
      </c>
      <c r="C281" s="145">
        <v>3866</v>
      </c>
      <c r="D281" s="145">
        <f>E281+F281</f>
        <v>4267</v>
      </c>
      <c r="E281" s="145">
        <v>3215</v>
      </c>
      <c r="F281" s="145">
        <v>1052</v>
      </c>
      <c r="G281" s="145">
        <f>C281-D281</f>
        <v>-401</v>
      </c>
      <c r="H281" s="145">
        <f t="shared" si="29"/>
        <v>401</v>
      </c>
      <c r="I281" s="123"/>
    </row>
    <row r="282" ht="15.75" spans="1:9">
      <c r="A282" s="91">
        <v>66</v>
      </c>
      <c r="B282" s="144" t="s">
        <v>410</v>
      </c>
      <c r="C282" s="145">
        <v>4996</v>
      </c>
      <c r="D282" s="145">
        <f>E282+F282</f>
        <v>5532</v>
      </c>
      <c r="E282" s="145">
        <v>4532</v>
      </c>
      <c r="F282" s="145">
        <v>1000</v>
      </c>
      <c r="G282" s="145">
        <f>C282-D282</f>
        <v>-536</v>
      </c>
      <c r="H282" s="145">
        <f t="shared" si="29"/>
        <v>536</v>
      </c>
      <c r="I282" s="123"/>
    </row>
  </sheetData>
  <mergeCells count="13">
    <mergeCell ref="A1:I1"/>
    <mergeCell ref="A2:B2"/>
    <mergeCell ref="C2:G2"/>
    <mergeCell ref="D3:F3"/>
    <mergeCell ref="A3:A5"/>
    <mergeCell ref="B3:B5"/>
    <mergeCell ref="C3:C5"/>
    <mergeCell ref="D4:D5"/>
    <mergeCell ref="E4:E5"/>
    <mergeCell ref="F4:F5"/>
    <mergeCell ref="G3:G5"/>
    <mergeCell ref="H3:H5"/>
    <mergeCell ref="I3:I5"/>
  </mergeCells>
  <pageMargins left="0.700694444444445" right="0.700694444444445" top="0.590277777777778" bottom="0.751388888888889" header="0.298611111111111" footer="0.298611111111111"/>
  <pageSetup paperSize="9" scale="76" firstPageNumber="15" fitToHeight="0" orientation="landscape" useFirstPageNumber="tru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F30"/>
  <sheetViews>
    <sheetView showZeros="0" topLeftCell="G1" workbookViewId="0">
      <selection activeCell="AE43" sqref="AE43"/>
    </sheetView>
  </sheetViews>
  <sheetFormatPr defaultColWidth="9" defaultRowHeight="14.25"/>
  <cols>
    <col min="1" max="1" width="7.5" style="126" customWidth="true"/>
    <col min="2" max="2" width="15.875" style="126" customWidth="true"/>
    <col min="3" max="3" width="7.875" style="126" customWidth="true"/>
    <col min="4" max="4" width="9.25" style="126" customWidth="true"/>
    <col min="5" max="5" width="9" style="126"/>
    <col min="6" max="6" width="8.125" style="126" customWidth="true"/>
    <col min="7" max="8" width="7" style="126" customWidth="true"/>
    <col min="9" max="10" width="8.375" style="126" customWidth="true"/>
    <col min="11" max="11" width="6.875" style="126" customWidth="true"/>
    <col min="12" max="12" width="9" style="126" customWidth="true"/>
    <col min="13" max="13" width="8.375" style="126" customWidth="true"/>
    <col min="14" max="14" width="7" style="126" customWidth="true"/>
    <col min="15" max="15" width="7.5" style="126" customWidth="true"/>
    <col min="16" max="17" width="7" style="126" customWidth="true"/>
    <col min="18" max="18" width="7.625" style="126" customWidth="true"/>
    <col min="19" max="26" width="7" style="126" customWidth="true"/>
    <col min="27" max="27" width="8.375" style="126" customWidth="true"/>
    <col min="28" max="29" width="8.875" style="126" customWidth="true"/>
    <col min="30" max="30" width="12.625" style="127" customWidth="true"/>
    <col min="31" max="31" width="10.625" style="35" customWidth="true"/>
    <col min="32" max="32" width="11.5" style="35"/>
    <col min="33" max="33" width="11.5" style="126" customWidth="true"/>
    <col min="34" max="16384" width="9" style="126"/>
  </cols>
  <sheetData>
    <row r="1" ht="27" spans="1:32">
      <c r="A1" s="37" t="s">
        <v>411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row>
    <row r="2" ht="18.75" spans="1:32">
      <c r="A2" s="126" t="s">
        <v>1</v>
      </c>
      <c r="B2" s="128"/>
      <c r="C2" s="50"/>
      <c r="D2" s="50"/>
      <c r="E2" s="50"/>
      <c r="F2" s="51"/>
      <c r="G2" s="52" t="str">
        <f>附表1收入调整表2024!E2</f>
        <v>编制日期：2024年12月</v>
      </c>
      <c r="H2" s="52"/>
      <c r="I2" s="52"/>
      <c r="J2" s="52"/>
      <c r="K2" s="52"/>
      <c r="L2" s="52"/>
      <c r="M2" s="52"/>
      <c r="N2" s="52"/>
      <c r="O2" s="52"/>
      <c r="P2" s="52"/>
      <c r="Q2" s="52"/>
      <c r="R2" s="52"/>
      <c r="S2" s="52"/>
      <c r="T2" s="52"/>
      <c r="U2" s="52"/>
      <c r="V2" s="52"/>
      <c r="W2" s="52"/>
      <c r="X2" s="52"/>
      <c r="Y2" s="52"/>
      <c r="Z2" s="50"/>
      <c r="AA2" s="50"/>
      <c r="AB2" s="50"/>
      <c r="AC2" s="50"/>
      <c r="AD2" s="56"/>
      <c r="AE2" s="133" t="s">
        <v>3</v>
      </c>
      <c r="AF2" s="133"/>
    </row>
    <row r="3" ht="48" customHeight="true" spans="1:32">
      <c r="A3" s="40" t="s">
        <v>412</v>
      </c>
      <c r="B3" s="40" t="s">
        <v>413</v>
      </c>
      <c r="C3" s="40" t="s">
        <v>414</v>
      </c>
      <c r="D3" s="41" t="s">
        <v>415</v>
      </c>
      <c r="E3" s="41"/>
      <c r="F3" s="40" t="s">
        <v>416</v>
      </c>
      <c r="G3" s="41" t="s">
        <v>415</v>
      </c>
      <c r="H3" s="41"/>
      <c r="I3" s="40" t="s">
        <v>417</v>
      </c>
      <c r="J3" s="41" t="s">
        <v>415</v>
      </c>
      <c r="K3" s="41"/>
      <c r="L3" s="40" t="s">
        <v>418</v>
      </c>
      <c r="M3" s="41" t="s">
        <v>415</v>
      </c>
      <c r="N3" s="41"/>
      <c r="O3" s="53" t="s">
        <v>419</v>
      </c>
      <c r="P3" s="41" t="s">
        <v>415</v>
      </c>
      <c r="Q3" s="41"/>
      <c r="R3" s="53" t="s">
        <v>420</v>
      </c>
      <c r="S3" s="41" t="s">
        <v>415</v>
      </c>
      <c r="T3" s="41"/>
      <c r="U3" s="40" t="s">
        <v>421</v>
      </c>
      <c r="V3" s="41" t="s">
        <v>415</v>
      </c>
      <c r="W3" s="41"/>
      <c r="X3" s="40" t="s">
        <v>422</v>
      </c>
      <c r="Y3" s="41" t="s">
        <v>415</v>
      </c>
      <c r="Z3" s="41"/>
      <c r="AA3" s="40" t="s">
        <v>423</v>
      </c>
      <c r="AB3" s="41" t="s">
        <v>415</v>
      </c>
      <c r="AC3" s="41"/>
      <c r="AD3" s="40" t="s">
        <v>424</v>
      </c>
      <c r="AE3" s="59" t="s">
        <v>415</v>
      </c>
      <c r="AF3" s="59"/>
    </row>
    <row r="4" ht="48" customHeight="true" spans="1:32">
      <c r="A4" s="40"/>
      <c r="B4" s="40"/>
      <c r="C4" s="40"/>
      <c r="D4" s="42" t="s">
        <v>10</v>
      </c>
      <c r="E4" s="42" t="s">
        <v>11</v>
      </c>
      <c r="F4" s="40"/>
      <c r="G4" s="42" t="s">
        <v>10</v>
      </c>
      <c r="H4" s="42" t="s">
        <v>11</v>
      </c>
      <c r="I4" s="40"/>
      <c r="J4" s="42" t="s">
        <v>10</v>
      </c>
      <c r="K4" s="42" t="s">
        <v>11</v>
      </c>
      <c r="L4" s="40"/>
      <c r="M4" s="42" t="s">
        <v>10</v>
      </c>
      <c r="N4" s="42" t="s">
        <v>11</v>
      </c>
      <c r="O4" s="54"/>
      <c r="P4" s="42" t="s">
        <v>10</v>
      </c>
      <c r="Q4" s="42" t="s">
        <v>11</v>
      </c>
      <c r="R4" s="54"/>
      <c r="S4" s="42" t="s">
        <v>10</v>
      </c>
      <c r="T4" s="42" t="s">
        <v>11</v>
      </c>
      <c r="U4" s="40"/>
      <c r="V4" s="42" t="s">
        <v>10</v>
      </c>
      <c r="W4" s="42" t="s">
        <v>11</v>
      </c>
      <c r="X4" s="40"/>
      <c r="Y4" s="42" t="s">
        <v>10</v>
      </c>
      <c r="Z4" s="42" t="s">
        <v>11</v>
      </c>
      <c r="AA4" s="40"/>
      <c r="AB4" s="42" t="s">
        <v>10</v>
      </c>
      <c r="AC4" s="42" t="s">
        <v>11</v>
      </c>
      <c r="AD4" s="40"/>
      <c r="AE4" s="61" t="s">
        <v>10</v>
      </c>
      <c r="AF4" s="134" t="s">
        <v>11</v>
      </c>
    </row>
    <row r="5" ht="34.5" customHeight="true" spans="1:32">
      <c r="A5" s="43">
        <v>201</v>
      </c>
      <c r="B5" s="44" t="s">
        <v>425</v>
      </c>
      <c r="C5" s="129">
        <f>D5+E5</f>
        <v>168659.244924</v>
      </c>
      <c r="D5" s="45">
        <v>152618.245234</v>
      </c>
      <c r="E5" s="129">
        <v>16040.99969</v>
      </c>
      <c r="F5" s="129">
        <f t="shared" ref="F5:F18" si="0">G5+H5</f>
        <v>-8</v>
      </c>
      <c r="G5" s="45">
        <v>-8</v>
      </c>
      <c r="H5" s="45"/>
      <c r="I5" s="129">
        <f t="shared" ref="I5:I18" si="1">J5+K5</f>
        <v>0</v>
      </c>
      <c r="J5" s="45"/>
      <c r="K5" s="45"/>
      <c r="L5" s="129">
        <f t="shared" ref="L5:L18" si="2">M5+N5</f>
        <v>0</v>
      </c>
      <c r="M5" s="45"/>
      <c r="N5" s="45"/>
      <c r="O5" s="129">
        <f t="shared" ref="O5:O18" si="3">P5+Q5</f>
        <v>0</v>
      </c>
      <c r="P5" s="45">
        <v>0</v>
      </c>
      <c r="Q5" s="45">
        <v>0</v>
      </c>
      <c r="R5" s="129">
        <f t="shared" ref="R5:R18" si="4">S5+T5</f>
        <v>0</v>
      </c>
      <c r="S5" s="45">
        <v>0</v>
      </c>
      <c r="T5" s="45">
        <v>0</v>
      </c>
      <c r="U5" s="129">
        <f t="shared" ref="U5:U18" si="5">V5+W5</f>
        <v>0</v>
      </c>
      <c r="V5" s="45">
        <v>0</v>
      </c>
      <c r="W5" s="45">
        <v>0</v>
      </c>
      <c r="X5" s="129">
        <f t="shared" ref="X5:X18" si="6">Y5+Z5</f>
        <v>0</v>
      </c>
      <c r="Y5" s="45">
        <v>0</v>
      </c>
      <c r="Z5" s="45">
        <v>0</v>
      </c>
      <c r="AA5" s="129">
        <f>AB5+AC5</f>
        <v>-91624.6710259091</v>
      </c>
      <c r="AB5" s="45">
        <v>-91624.6710259091</v>
      </c>
      <c r="AC5" s="129"/>
      <c r="AD5" s="129">
        <f>AE5+AF5</f>
        <v>77026.5738980909</v>
      </c>
      <c r="AE5" s="135">
        <f t="shared" ref="AE5:AE18" si="7">D5+G5+J5+M5+P5+S5+V5+Y5+AB5</f>
        <v>60985.5742080909</v>
      </c>
      <c r="AF5" s="135">
        <f t="shared" ref="AF5:AF28" si="8">E5+H5+K5+N5+Q5+T5+W5+Z5+AC5</f>
        <v>16040.99969</v>
      </c>
    </row>
    <row r="6" ht="34.5" customHeight="true" spans="1:32">
      <c r="A6" s="43">
        <v>203</v>
      </c>
      <c r="B6" s="44" t="s">
        <v>426</v>
      </c>
      <c r="C6" s="129">
        <f t="shared" ref="C6:C28" si="9">D6+E6</f>
        <v>662.91</v>
      </c>
      <c r="D6" s="45">
        <v>662.91</v>
      </c>
      <c r="E6" s="129"/>
      <c r="F6" s="129">
        <f t="shared" si="0"/>
        <v>0</v>
      </c>
      <c r="G6" s="45"/>
      <c r="H6" s="45"/>
      <c r="I6" s="129">
        <f t="shared" si="1"/>
        <v>0</v>
      </c>
      <c r="J6" s="45"/>
      <c r="K6" s="45"/>
      <c r="L6" s="129">
        <f t="shared" si="2"/>
        <v>0</v>
      </c>
      <c r="M6" s="45"/>
      <c r="N6" s="45"/>
      <c r="O6" s="129">
        <f t="shared" si="3"/>
        <v>0</v>
      </c>
      <c r="P6" s="45">
        <v>0</v>
      </c>
      <c r="Q6" s="45">
        <v>0</v>
      </c>
      <c r="R6" s="129">
        <f t="shared" si="4"/>
        <v>0</v>
      </c>
      <c r="S6" s="45">
        <v>0</v>
      </c>
      <c r="T6" s="45">
        <v>0</v>
      </c>
      <c r="U6" s="129">
        <f t="shared" si="5"/>
        <v>0</v>
      </c>
      <c r="V6" s="45">
        <v>0</v>
      </c>
      <c r="W6" s="45">
        <v>0</v>
      </c>
      <c r="X6" s="129">
        <f t="shared" si="6"/>
        <v>0</v>
      </c>
      <c r="Y6" s="45">
        <v>0</v>
      </c>
      <c r="Z6" s="45">
        <v>0</v>
      </c>
      <c r="AA6" s="129">
        <f t="shared" ref="AA6:AA28" si="10">AB6+AC6</f>
        <v>-37.9286119999999</v>
      </c>
      <c r="AB6" s="45">
        <v>-37.9286119999999</v>
      </c>
      <c r="AC6" s="129"/>
      <c r="AD6" s="129">
        <f t="shared" ref="AD6:AD28" si="11">AE6+AF6</f>
        <v>624.981388</v>
      </c>
      <c r="AE6" s="135">
        <f t="shared" si="7"/>
        <v>624.981388</v>
      </c>
      <c r="AF6" s="135">
        <f t="shared" si="8"/>
        <v>0</v>
      </c>
    </row>
    <row r="7" ht="34.5" customHeight="true" spans="1:32">
      <c r="A7" s="43">
        <v>204</v>
      </c>
      <c r="B7" s="44" t="s">
        <v>427</v>
      </c>
      <c r="C7" s="129">
        <f t="shared" si="9"/>
        <v>29718.338136</v>
      </c>
      <c r="D7" s="45">
        <v>24718.558136</v>
      </c>
      <c r="E7" s="129">
        <v>4999.78</v>
      </c>
      <c r="F7" s="129">
        <f t="shared" si="0"/>
        <v>-164</v>
      </c>
      <c r="G7" s="45">
        <v>-164</v>
      </c>
      <c r="H7" s="45"/>
      <c r="I7" s="129">
        <f t="shared" si="1"/>
        <v>0</v>
      </c>
      <c r="J7" s="45"/>
      <c r="K7" s="45"/>
      <c r="L7" s="129">
        <f t="shared" si="2"/>
        <v>0</v>
      </c>
      <c r="M7" s="45"/>
      <c r="N7" s="45"/>
      <c r="O7" s="129">
        <f t="shared" si="3"/>
        <v>0</v>
      </c>
      <c r="P7" s="45">
        <v>0</v>
      </c>
      <c r="Q7" s="45">
        <v>0</v>
      </c>
      <c r="R7" s="129">
        <f t="shared" si="4"/>
        <v>0</v>
      </c>
      <c r="S7" s="45">
        <v>0</v>
      </c>
      <c r="T7" s="45">
        <v>0</v>
      </c>
      <c r="U7" s="129">
        <f t="shared" si="5"/>
        <v>0</v>
      </c>
      <c r="V7" s="45">
        <v>0</v>
      </c>
      <c r="W7" s="45">
        <v>0</v>
      </c>
      <c r="X7" s="129">
        <f t="shared" si="6"/>
        <v>0</v>
      </c>
      <c r="Y7" s="45">
        <v>0</v>
      </c>
      <c r="Z7" s="45">
        <v>0</v>
      </c>
      <c r="AA7" s="129">
        <f t="shared" si="10"/>
        <v>189.180929272727</v>
      </c>
      <c r="AB7" s="45">
        <v>189.180929272727</v>
      </c>
      <c r="AC7" s="129"/>
      <c r="AD7" s="129">
        <f t="shared" si="11"/>
        <v>29743.5190652727</v>
      </c>
      <c r="AE7" s="135">
        <f t="shared" si="7"/>
        <v>24743.7390652727</v>
      </c>
      <c r="AF7" s="135">
        <f t="shared" si="8"/>
        <v>4999.78</v>
      </c>
    </row>
    <row r="8" ht="34.5" customHeight="true" spans="1:32">
      <c r="A8" s="43">
        <v>205</v>
      </c>
      <c r="B8" s="44" t="s">
        <v>428</v>
      </c>
      <c r="C8" s="129">
        <f t="shared" si="9"/>
        <v>218031.049214</v>
      </c>
      <c r="D8" s="45">
        <v>138329.84</v>
      </c>
      <c r="E8" s="129">
        <v>79701.209214</v>
      </c>
      <c r="F8" s="129">
        <f t="shared" si="0"/>
        <v>-601</v>
      </c>
      <c r="G8" s="45">
        <v>-601</v>
      </c>
      <c r="H8" s="45"/>
      <c r="I8" s="129">
        <f t="shared" si="1"/>
        <v>0</v>
      </c>
      <c r="J8" s="45"/>
      <c r="K8" s="45"/>
      <c r="L8" s="129">
        <f t="shared" si="2"/>
        <v>0</v>
      </c>
      <c r="M8" s="45"/>
      <c r="N8" s="45"/>
      <c r="O8" s="129">
        <f t="shared" si="3"/>
        <v>0</v>
      </c>
      <c r="P8" s="45">
        <v>0</v>
      </c>
      <c r="Q8" s="45">
        <v>0</v>
      </c>
      <c r="R8" s="129">
        <f t="shared" si="4"/>
        <v>0</v>
      </c>
      <c r="S8" s="45">
        <v>0</v>
      </c>
      <c r="T8" s="45">
        <v>0</v>
      </c>
      <c r="U8" s="129">
        <f t="shared" si="5"/>
        <v>0</v>
      </c>
      <c r="V8" s="45">
        <v>0</v>
      </c>
      <c r="W8" s="45">
        <v>0</v>
      </c>
      <c r="X8" s="129">
        <f t="shared" si="6"/>
        <v>0</v>
      </c>
      <c r="Y8" s="45">
        <v>0</v>
      </c>
      <c r="Z8" s="45">
        <v>0</v>
      </c>
      <c r="AA8" s="129">
        <f t="shared" si="10"/>
        <v>-6692.27630145455</v>
      </c>
      <c r="AB8" s="45">
        <f>3000-9692.27630145455</f>
        <v>-6692.27630145455</v>
      </c>
      <c r="AC8" s="129"/>
      <c r="AD8" s="129">
        <f t="shared" si="11"/>
        <v>210737.772912545</v>
      </c>
      <c r="AE8" s="135">
        <f t="shared" si="7"/>
        <v>131036.563698545</v>
      </c>
      <c r="AF8" s="135">
        <f t="shared" si="8"/>
        <v>79701.209214</v>
      </c>
    </row>
    <row r="9" ht="34.5" customHeight="true" spans="1:32">
      <c r="A9" s="43">
        <v>206</v>
      </c>
      <c r="B9" s="44" t="s">
        <v>429</v>
      </c>
      <c r="C9" s="129">
        <f t="shared" si="9"/>
        <v>29119.910017</v>
      </c>
      <c r="D9" s="45">
        <v>6665.126</v>
      </c>
      <c r="E9" s="129">
        <v>22454.784017</v>
      </c>
      <c r="F9" s="129">
        <f t="shared" si="0"/>
        <v>332</v>
      </c>
      <c r="G9" s="45">
        <v>332</v>
      </c>
      <c r="H9" s="45"/>
      <c r="I9" s="129">
        <f t="shared" si="1"/>
        <v>0</v>
      </c>
      <c r="J9" s="45"/>
      <c r="K9" s="45"/>
      <c r="L9" s="129">
        <f t="shared" si="2"/>
        <v>0</v>
      </c>
      <c r="M9" s="45"/>
      <c r="N9" s="45"/>
      <c r="O9" s="129">
        <f t="shared" si="3"/>
        <v>0</v>
      </c>
      <c r="P9" s="45">
        <v>0</v>
      </c>
      <c r="Q9" s="45">
        <v>0</v>
      </c>
      <c r="R9" s="129">
        <f t="shared" si="4"/>
        <v>0</v>
      </c>
      <c r="S9" s="45">
        <v>0</v>
      </c>
      <c r="T9" s="45">
        <v>0</v>
      </c>
      <c r="U9" s="129">
        <f t="shared" si="5"/>
        <v>0</v>
      </c>
      <c r="V9" s="45">
        <v>0</v>
      </c>
      <c r="W9" s="45">
        <v>0</v>
      </c>
      <c r="X9" s="129">
        <f t="shared" si="6"/>
        <v>0</v>
      </c>
      <c r="Y9" s="45">
        <v>0</v>
      </c>
      <c r="Z9" s="45">
        <v>0</v>
      </c>
      <c r="AA9" s="129">
        <f t="shared" si="10"/>
        <v>-5724.14091963636</v>
      </c>
      <c r="AB9" s="45">
        <v>-5724.14091963636</v>
      </c>
      <c r="AC9" s="129"/>
      <c r="AD9" s="129">
        <f t="shared" si="11"/>
        <v>23727.7690973636</v>
      </c>
      <c r="AE9" s="135">
        <f t="shared" si="7"/>
        <v>1272.98508036364</v>
      </c>
      <c r="AF9" s="135">
        <f t="shared" si="8"/>
        <v>22454.784017</v>
      </c>
    </row>
    <row r="10" ht="34.5" customHeight="true" spans="1:32">
      <c r="A10" s="43">
        <v>207</v>
      </c>
      <c r="B10" s="44" t="s">
        <v>430</v>
      </c>
      <c r="C10" s="129">
        <f t="shared" si="9"/>
        <v>15284.39</v>
      </c>
      <c r="D10" s="45">
        <v>13829.49</v>
      </c>
      <c r="E10" s="129">
        <v>1454.9</v>
      </c>
      <c r="F10" s="129">
        <f t="shared" si="0"/>
        <v>400</v>
      </c>
      <c r="G10" s="45">
        <v>400</v>
      </c>
      <c r="H10" s="45"/>
      <c r="I10" s="129">
        <f t="shared" si="1"/>
        <v>0</v>
      </c>
      <c r="J10" s="45"/>
      <c r="K10" s="45"/>
      <c r="L10" s="129">
        <f t="shared" si="2"/>
        <v>0</v>
      </c>
      <c r="M10" s="45"/>
      <c r="N10" s="45"/>
      <c r="O10" s="129">
        <f t="shared" si="3"/>
        <v>0</v>
      </c>
      <c r="P10" s="45">
        <v>0</v>
      </c>
      <c r="Q10" s="45">
        <v>0</v>
      </c>
      <c r="R10" s="129">
        <f t="shared" si="4"/>
        <v>0</v>
      </c>
      <c r="S10" s="45">
        <v>0</v>
      </c>
      <c r="T10" s="45">
        <v>0</v>
      </c>
      <c r="U10" s="129">
        <f t="shared" si="5"/>
        <v>0</v>
      </c>
      <c r="V10" s="45">
        <v>0</v>
      </c>
      <c r="W10" s="45">
        <v>0</v>
      </c>
      <c r="X10" s="129">
        <f t="shared" si="6"/>
        <v>0</v>
      </c>
      <c r="Y10" s="45">
        <v>0</v>
      </c>
      <c r="Z10" s="45">
        <v>0</v>
      </c>
      <c r="AA10" s="129">
        <f t="shared" si="10"/>
        <v>-4141.94582654545</v>
      </c>
      <c r="AB10" s="45">
        <v>-4141.94582654545</v>
      </c>
      <c r="AC10" s="129"/>
      <c r="AD10" s="129">
        <f t="shared" si="11"/>
        <v>11542.4441734545</v>
      </c>
      <c r="AE10" s="135">
        <f t="shared" si="7"/>
        <v>10087.5441734545</v>
      </c>
      <c r="AF10" s="135">
        <f t="shared" si="8"/>
        <v>1454.9</v>
      </c>
    </row>
    <row r="11" ht="34.5" customHeight="true" spans="1:32">
      <c r="A11" s="43">
        <v>208</v>
      </c>
      <c r="B11" s="44" t="s">
        <v>431</v>
      </c>
      <c r="C11" s="129">
        <f t="shared" si="9"/>
        <v>172825.918783</v>
      </c>
      <c r="D11" s="45">
        <v>150573.625083</v>
      </c>
      <c r="E11" s="129">
        <v>22252.2937</v>
      </c>
      <c r="F11" s="129">
        <f t="shared" si="0"/>
        <v>2273</v>
      </c>
      <c r="G11" s="45">
        <v>2273</v>
      </c>
      <c r="H11" s="45"/>
      <c r="I11" s="129">
        <f t="shared" si="1"/>
        <v>0</v>
      </c>
      <c r="J11" s="45"/>
      <c r="K11" s="45"/>
      <c r="L11" s="129">
        <f t="shared" si="2"/>
        <v>0</v>
      </c>
      <c r="M11" s="45"/>
      <c r="N11" s="45"/>
      <c r="O11" s="129">
        <f t="shared" si="3"/>
        <v>0</v>
      </c>
      <c r="P11" s="45">
        <v>0</v>
      </c>
      <c r="Q11" s="45">
        <v>0</v>
      </c>
      <c r="R11" s="129">
        <f t="shared" si="4"/>
        <v>0</v>
      </c>
      <c r="S11" s="45">
        <v>0</v>
      </c>
      <c r="T11" s="45">
        <v>0</v>
      </c>
      <c r="U11" s="129">
        <f t="shared" si="5"/>
        <v>0</v>
      </c>
      <c r="V11" s="45">
        <v>0</v>
      </c>
      <c r="W11" s="45">
        <v>0</v>
      </c>
      <c r="X11" s="129">
        <f t="shared" si="6"/>
        <v>0</v>
      </c>
      <c r="Y11" s="45">
        <v>0</v>
      </c>
      <c r="Z11" s="45">
        <v>0</v>
      </c>
      <c r="AA11" s="129">
        <f t="shared" si="10"/>
        <v>-11888.0651497273</v>
      </c>
      <c r="AB11" s="45">
        <v>-11888.0651497273</v>
      </c>
      <c r="AC11" s="129"/>
      <c r="AD11" s="129">
        <f t="shared" si="11"/>
        <v>163210.853633273</v>
      </c>
      <c r="AE11" s="135">
        <f t="shared" si="7"/>
        <v>140958.559933273</v>
      </c>
      <c r="AF11" s="135">
        <f t="shared" si="8"/>
        <v>22252.2937</v>
      </c>
    </row>
    <row r="12" ht="34.5" customHeight="true" spans="1:32">
      <c r="A12" s="43">
        <v>210</v>
      </c>
      <c r="B12" s="44" t="s">
        <v>432</v>
      </c>
      <c r="C12" s="129">
        <f t="shared" si="9"/>
        <v>87433.439273</v>
      </c>
      <c r="D12" s="45">
        <v>77792.667373</v>
      </c>
      <c r="E12" s="129">
        <v>9640.7719</v>
      </c>
      <c r="F12" s="129">
        <f t="shared" si="0"/>
        <v>441</v>
      </c>
      <c r="G12" s="45">
        <v>441</v>
      </c>
      <c r="H12" s="45"/>
      <c r="I12" s="129">
        <f t="shared" si="1"/>
        <v>0</v>
      </c>
      <c r="J12" s="45"/>
      <c r="K12" s="45"/>
      <c r="L12" s="129">
        <f t="shared" si="2"/>
        <v>0</v>
      </c>
      <c r="M12" s="45"/>
      <c r="N12" s="45"/>
      <c r="O12" s="129">
        <f t="shared" si="3"/>
        <v>0</v>
      </c>
      <c r="P12" s="45">
        <v>0</v>
      </c>
      <c r="Q12" s="45">
        <v>0</v>
      </c>
      <c r="R12" s="129">
        <f t="shared" si="4"/>
        <v>0</v>
      </c>
      <c r="S12" s="45">
        <v>0</v>
      </c>
      <c r="T12" s="45">
        <v>0</v>
      </c>
      <c r="U12" s="129">
        <f t="shared" si="5"/>
        <v>0</v>
      </c>
      <c r="V12" s="45">
        <v>0</v>
      </c>
      <c r="W12" s="45">
        <v>0</v>
      </c>
      <c r="X12" s="129">
        <f t="shared" si="6"/>
        <v>0</v>
      </c>
      <c r="Y12" s="45">
        <v>0</v>
      </c>
      <c r="Z12" s="45">
        <v>0</v>
      </c>
      <c r="AA12" s="129">
        <f t="shared" si="10"/>
        <v>-15197.0994126363</v>
      </c>
      <c r="AB12" s="45">
        <v>-15197.0994126363</v>
      </c>
      <c r="AC12" s="129"/>
      <c r="AD12" s="129">
        <f t="shared" si="11"/>
        <v>72677.3398603637</v>
      </c>
      <c r="AE12" s="135">
        <f t="shared" si="7"/>
        <v>63036.5679603637</v>
      </c>
      <c r="AF12" s="135">
        <f t="shared" si="8"/>
        <v>9640.7719</v>
      </c>
    </row>
    <row r="13" ht="34.5" customHeight="true" spans="1:32">
      <c r="A13" s="43">
        <v>211</v>
      </c>
      <c r="B13" s="44" t="s">
        <v>433</v>
      </c>
      <c r="C13" s="129">
        <f t="shared" si="9"/>
        <v>7347.76117</v>
      </c>
      <c r="D13" s="45">
        <v>3594.11397</v>
      </c>
      <c r="E13" s="129">
        <v>3753.6472</v>
      </c>
      <c r="F13" s="129">
        <f t="shared" si="0"/>
        <v>282</v>
      </c>
      <c r="G13" s="45">
        <v>282</v>
      </c>
      <c r="H13" s="45"/>
      <c r="I13" s="129">
        <f t="shared" si="1"/>
        <v>0</v>
      </c>
      <c r="J13" s="45"/>
      <c r="K13" s="45"/>
      <c r="L13" s="129">
        <f t="shared" si="2"/>
        <v>0</v>
      </c>
      <c r="M13" s="45"/>
      <c r="N13" s="45"/>
      <c r="O13" s="129">
        <f t="shared" si="3"/>
        <v>0</v>
      </c>
      <c r="P13" s="45">
        <v>0</v>
      </c>
      <c r="Q13" s="45">
        <v>0</v>
      </c>
      <c r="R13" s="129">
        <f t="shared" si="4"/>
        <v>0</v>
      </c>
      <c r="S13" s="45"/>
      <c r="T13" s="45">
        <v>0</v>
      </c>
      <c r="U13" s="129">
        <f t="shared" si="5"/>
        <v>0</v>
      </c>
      <c r="V13" s="45">
        <v>0</v>
      </c>
      <c r="W13" s="45">
        <v>0</v>
      </c>
      <c r="X13" s="129">
        <f t="shared" si="6"/>
        <v>0</v>
      </c>
      <c r="Y13" s="45">
        <v>0</v>
      </c>
      <c r="Z13" s="45">
        <v>0</v>
      </c>
      <c r="AA13" s="129">
        <f t="shared" si="10"/>
        <v>3677.518835</v>
      </c>
      <c r="AB13" s="45">
        <f>3500+177.518835</f>
        <v>3677.518835</v>
      </c>
      <c r="AC13" s="129"/>
      <c r="AD13" s="129">
        <f t="shared" si="11"/>
        <v>11307.280005</v>
      </c>
      <c r="AE13" s="135">
        <f t="shared" si="7"/>
        <v>7553.632805</v>
      </c>
      <c r="AF13" s="135">
        <f t="shared" si="8"/>
        <v>3753.6472</v>
      </c>
    </row>
    <row r="14" ht="34.5" customHeight="true" spans="1:32">
      <c r="A14" s="43">
        <v>212</v>
      </c>
      <c r="B14" s="44" t="s">
        <v>434</v>
      </c>
      <c r="C14" s="129">
        <f t="shared" si="9"/>
        <v>131341.800248</v>
      </c>
      <c r="D14" s="45">
        <v>35912.94607</v>
      </c>
      <c r="E14" s="129">
        <v>95428.854178</v>
      </c>
      <c r="F14" s="129">
        <f t="shared" si="0"/>
        <v>-11257</v>
      </c>
      <c r="G14" s="45">
        <f>-1897-9360</f>
        <v>-11257</v>
      </c>
      <c r="H14" s="45"/>
      <c r="I14" s="129">
        <f t="shared" si="1"/>
        <v>14583</v>
      </c>
      <c r="J14" s="45">
        <v>14583</v>
      </c>
      <c r="K14" s="45"/>
      <c r="L14" s="129">
        <f t="shared" si="2"/>
        <v>-52749.094377</v>
      </c>
      <c r="M14" s="45">
        <v>-46136.094377</v>
      </c>
      <c r="N14" s="45">
        <v>-6613</v>
      </c>
      <c r="O14" s="129">
        <f t="shared" si="3"/>
        <v>0</v>
      </c>
      <c r="P14" s="45"/>
      <c r="Q14" s="45">
        <v>0</v>
      </c>
      <c r="R14" s="129">
        <f t="shared" si="4"/>
        <v>37000</v>
      </c>
      <c r="S14" s="45">
        <v>37000</v>
      </c>
      <c r="T14" s="45"/>
      <c r="U14" s="129">
        <f t="shared" si="5"/>
        <v>18516</v>
      </c>
      <c r="V14" s="45">
        <v>18516</v>
      </c>
      <c r="W14" s="45">
        <v>0</v>
      </c>
      <c r="X14" s="129">
        <f t="shared" si="6"/>
        <v>0</v>
      </c>
      <c r="Y14" s="45"/>
      <c r="Z14" s="45">
        <v>0</v>
      </c>
      <c r="AA14" s="129">
        <f t="shared" si="10"/>
        <v>157822</v>
      </c>
      <c r="AB14" s="45">
        <f>161322-3500</f>
        <v>157822</v>
      </c>
      <c r="AC14" s="129"/>
      <c r="AD14" s="129">
        <f t="shared" si="11"/>
        <v>295256.705871</v>
      </c>
      <c r="AE14" s="135">
        <f t="shared" si="7"/>
        <v>206440.851693</v>
      </c>
      <c r="AF14" s="135">
        <f t="shared" si="8"/>
        <v>88815.854178</v>
      </c>
    </row>
    <row r="15" ht="34.5" customHeight="true" spans="1:32">
      <c r="A15" s="43">
        <v>213</v>
      </c>
      <c r="B15" s="44" t="s">
        <v>435</v>
      </c>
      <c r="C15" s="129">
        <f t="shared" si="9"/>
        <v>35552.673592</v>
      </c>
      <c r="D15" s="45">
        <v>33849.073592</v>
      </c>
      <c r="E15" s="129">
        <v>1703.6</v>
      </c>
      <c r="F15" s="129">
        <f t="shared" si="0"/>
        <v>-2447</v>
      </c>
      <c r="G15" s="45">
        <f>292-2739</f>
        <v>-2447</v>
      </c>
      <c r="H15" s="45"/>
      <c r="I15" s="129">
        <f t="shared" si="1"/>
        <v>0</v>
      </c>
      <c r="J15" s="45"/>
      <c r="K15" s="45"/>
      <c r="L15" s="129">
        <f t="shared" si="2"/>
        <v>0</v>
      </c>
      <c r="M15" s="45"/>
      <c r="N15" s="45"/>
      <c r="O15" s="129">
        <f t="shared" si="3"/>
        <v>0</v>
      </c>
      <c r="P15" s="45">
        <v>0</v>
      </c>
      <c r="Q15" s="45">
        <v>0</v>
      </c>
      <c r="R15" s="129">
        <f t="shared" si="4"/>
        <v>0</v>
      </c>
      <c r="S15" s="45"/>
      <c r="T15" s="45">
        <v>0</v>
      </c>
      <c r="U15" s="129">
        <f t="shared" si="5"/>
        <v>0</v>
      </c>
      <c r="V15" s="45">
        <v>0</v>
      </c>
      <c r="W15" s="45">
        <v>0</v>
      </c>
      <c r="X15" s="129">
        <f t="shared" si="6"/>
        <v>0</v>
      </c>
      <c r="Y15" s="45">
        <v>0</v>
      </c>
      <c r="Z15" s="45">
        <v>0</v>
      </c>
      <c r="AA15" s="129">
        <f t="shared" si="10"/>
        <v>-6092.33157518182</v>
      </c>
      <c r="AB15" s="45">
        <v>-6092.33157518182</v>
      </c>
      <c r="AC15" s="129"/>
      <c r="AD15" s="129">
        <f t="shared" si="11"/>
        <v>27013.3420168182</v>
      </c>
      <c r="AE15" s="135">
        <f t="shared" si="7"/>
        <v>25309.7420168182</v>
      </c>
      <c r="AF15" s="135">
        <f t="shared" si="8"/>
        <v>1703.6</v>
      </c>
    </row>
    <row r="16" ht="34.5" customHeight="true" spans="1:32">
      <c r="A16" s="43">
        <v>214</v>
      </c>
      <c r="B16" s="44" t="s">
        <v>436</v>
      </c>
      <c r="C16" s="129">
        <f t="shared" si="9"/>
        <v>8206.808</v>
      </c>
      <c r="D16" s="45">
        <v>6417.408</v>
      </c>
      <c r="E16" s="129">
        <v>1789.4</v>
      </c>
      <c r="F16" s="129">
        <f t="shared" si="0"/>
        <v>163</v>
      </c>
      <c r="G16" s="45">
        <v>163</v>
      </c>
      <c r="H16" s="45"/>
      <c r="I16" s="129">
        <f t="shared" si="1"/>
        <v>0</v>
      </c>
      <c r="J16" s="45"/>
      <c r="K16" s="45"/>
      <c r="L16" s="129">
        <f t="shared" si="2"/>
        <v>0</v>
      </c>
      <c r="M16" s="45"/>
      <c r="N16" s="45"/>
      <c r="O16" s="129">
        <f t="shared" si="3"/>
        <v>0</v>
      </c>
      <c r="P16" s="45">
        <v>0</v>
      </c>
      <c r="Q16" s="45">
        <v>0</v>
      </c>
      <c r="R16" s="129">
        <f t="shared" si="4"/>
        <v>0</v>
      </c>
      <c r="S16" s="45"/>
      <c r="T16" s="45">
        <v>0</v>
      </c>
      <c r="U16" s="129">
        <f t="shared" si="5"/>
        <v>0</v>
      </c>
      <c r="V16" s="45">
        <v>0</v>
      </c>
      <c r="W16" s="45">
        <v>0</v>
      </c>
      <c r="X16" s="129">
        <f t="shared" si="6"/>
        <v>0</v>
      </c>
      <c r="Y16" s="45">
        <v>0</v>
      </c>
      <c r="Z16" s="45">
        <v>0</v>
      </c>
      <c r="AA16" s="129">
        <f t="shared" si="10"/>
        <v>-825.929290363637</v>
      </c>
      <c r="AB16" s="45">
        <v>-825.929290363637</v>
      </c>
      <c r="AC16" s="129"/>
      <c r="AD16" s="129">
        <f t="shared" si="11"/>
        <v>7543.87870963636</v>
      </c>
      <c r="AE16" s="135">
        <f t="shared" si="7"/>
        <v>5754.47870963636</v>
      </c>
      <c r="AF16" s="135">
        <f t="shared" si="8"/>
        <v>1789.4</v>
      </c>
    </row>
    <row r="17" ht="34.5" customHeight="true" spans="1:32">
      <c r="A17" s="43">
        <v>215</v>
      </c>
      <c r="B17" s="44" t="s">
        <v>437</v>
      </c>
      <c r="C17" s="129">
        <f t="shared" si="9"/>
        <v>7428.5326</v>
      </c>
      <c r="D17" s="45">
        <v>6668.9626</v>
      </c>
      <c r="E17" s="129">
        <v>759.57</v>
      </c>
      <c r="F17" s="129">
        <f t="shared" si="0"/>
        <v>0</v>
      </c>
      <c r="G17" s="45"/>
      <c r="H17" s="45"/>
      <c r="I17" s="129">
        <f t="shared" si="1"/>
        <v>0</v>
      </c>
      <c r="J17" s="45"/>
      <c r="K17" s="45"/>
      <c r="L17" s="129">
        <f t="shared" si="2"/>
        <v>0</v>
      </c>
      <c r="M17" s="45"/>
      <c r="N17" s="45"/>
      <c r="O17" s="129">
        <f t="shared" si="3"/>
        <v>0</v>
      </c>
      <c r="P17" s="45">
        <v>0</v>
      </c>
      <c r="Q17" s="45">
        <v>0</v>
      </c>
      <c r="R17" s="129">
        <f t="shared" si="4"/>
        <v>0</v>
      </c>
      <c r="S17" s="45"/>
      <c r="T17" s="45">
        <v>0</v>
      </c>
      <c r="U17" s="129">
        <f t="shared" si="5"/>
        <v>0</v>
      </c>
      <c r="V17" s="45">
        <v>0</v>
      </c>
      <c r="W17" s="45">
        <v>0</v>
      </c>
      <c r="X17" s="129">
        <f t="shared" si="6"/>
        <v>0</v>
      </c>
      <c r="Y17" s="45">
        <v>0</v>
      </c>
      <c r="Z17" s="45">
        <v>0</v>
      </c>
      <c r="AA17" s="129">
        <f t="shared" si="10"/>
        <v>-4079.91508536364</v>
      </c>
      <c r="AB17" s="45">
        <v>-4079.91508536364</v>
      </c>
      <c r="AC17" s="129"/>
      <c r="AD17" s="129">
        <f t="shared" si="11"/>
        <v>3348.61751463636</v>
      </c>
      <c r="AE17" s="135">
        <f t="shared" si="7"/>
        <v>2589.04751463636</v>
      </c>
      <c r="AF17" s="135">
        <f t="shared" si="8"/>
        <v>759.57</v>
      </c>
    </row>
    <row r="18" ht="34.5" customHeight="true" spans="1:32">
      <c r="A18" s="43">
        <v>216</v>
      </c>
      <c r="B18" s="44" t="s">
        <v>438</v>
      </c>
      <c r="C18" s="129">
        <f t="shared" si="9"/>
        <v>491.88249</v>
      </c>
      <c r="D18" s="45">
        <v>491.88249</v>
      </c>
      <c r="E18" s="129">
        <v>0</v>
      </c>
      <c r="F18" s="129">
        <f t="shared" si="0"/>
        <v>0</v>
      </c>
      <c r="G18" s="45"/>
      <c r="H18" s="45"/>
      <c r="I18" s="129">
        <f t="shared" si="1"/>
        <v>0</v>
      </c>
      <c r="J18" s="45"/>
      <c r="K18" s="45"/>
      <c r="L18" s="129">
        <f t="shared" si="2"/>
        <v>0</v>
      </c>
      <c r="M18" s="45"/>
      <c r="N18" s="45"/>
      <c r="O18" s="129">
        <f t="shared" si="3"/>
        <v>0</v>
      </c>
      <c r="P18" s="45">
        <v>0</v>
      </c>
      <c r="Q18" s="45">
        <v>0</v>
      </c>
      <c r="R18" s="129">
        <f t="shared" si="4"/>
        <v>0</v>
      </c>
      <c r="S18" s="45"/>
      <c r="T18" s="45">
        <v>0</v>
      </c>
      <c r="U18" s="129">
        <f t="shared" si="5"/>
        <v>0</v>
      </c>
      <c r="V18" s="45">
        <v>0</v>
      </c>
      <c r="W18" s="45">
        <v>0</v>
      </c>
      <c r="X18" s="129">
        <f t="shared" si="6"/>
        <v>0</v>
      </c>
      <c r="Y18" s="45">
        <v>0</v>
      </c>
      <c r="Z18" s="45">
        <v>0</v>
      </c>
      <c r="AA18" s="129">
        <f t="shared" si="10"/>
        <v>140.301760272727</v>
      </c>
      <c r="AB18" s="45">
        <v>140.301760272727</v>
      </c>
      <c r="AC18" s="129"/>
      <c r="AD18" s="129">
        <f t="shared" si="11"/>
        <v>632.184250272727</v>
      </c>
      <c r="AE18" s="135">
        <f t="shared" si="7"/>
        <v>632.184250272727</v>
      </c>
      <c r="AF18" s="135">
        <f t="shared" si="8"/>
        <v>0</v>
      </c>
    </row>
    <row r="19" ht="34.5" customHeight="true" spans="1:32">
      <c r="A19" s="43">
        <v>217</v>
      </c>
      <c r="B19" s="44" t="s">
        <v>439</v>
      </c>
      <c r="C19" s="129">
        <f t="shared" si="9"/>
        <v>10005</v>
      </c>
      <c r="D19" s="45"/>
      <c r="E19" s="129">
        <v>10005</v>
      </c>
      <c r="F19" s="129">
        <v>0</v>
      </c>
      <c r="G19" s="45"/>
      <c r="H19" s="45"/>
      <c r="I19" s="129">
        <v>0</v>
      </c>
      <c r="J19" s="45"/>
      <c r="K19" s="45"/>
      <c r="L19" s="129">
        <v>0</v>
      </c>
      <c r="M19" s="45"/>
      <c r="N19" s="45"/>
      <c r="O19" s="129">
        <v>0</v>
      </c>
      <c r="P19" s="45">
        <v>0</v>
      </c>
      <c r="Q19" s="45">
        <v>0</v>
      </c>
      <c r="R19" s="129">
        <v>0</v>
      </c>
      <c r="S19" s="45"/>
      <c r="T19" s="45">
        <v>0</v>
      </c>
      <c r="U19" s="129">
        <v>0</v>
      </c>
      <c r="V19" s="45">
        <v>0</v>
      </c>
      <c r="W19" s="45">
        <v>0</v>
      </c>
      <c r="X19" s="129">
        <v>0</v>
      </c>
      <c r="Y19" s="45">
        <v>0</v>
      </c>
      <c r="Z19" s="45">
        <v>0</v>
      </c>
      <c r="AA19" s="129">
        <f t="shared" si="10"/>
        <v>0</v>
      </c>
      <c r="AB19" s="45"/>
      <c r="AC19" s="129"/>
      <c r="AD19" s="129">
        <f t="shared" si="11"/>
        <v>10005</v>
      </c>
      <c r="AE19" s="135">
        <v>0</v>
      </c>
      <c r="AF19" s="135">
        <f t="shared" si="8"/>
        <v>10005</v>
      </c>
    </row>
    <row r="20" ht="34.5" hidden="true" customHeight="true" spans="1:32">
      <c r="A20" s="43">
        <v>219</v>
      </c>
      <c r="B20" s="44" t="s">
        <v>440</v>
      </c>
      <c r="C20" s="129">
        <f t="shared" si="9"/>
        <v>0</v>
      </c>
      <c r="D20" s="45"/>
      <c r="E20" s="129"/>
      <c r="F20" s="129">
        <f t="shared" ref="F20:F28" si="12">G20+H20</f>
        <v>0</v>
      </c>
      <c r="G20" s="45"/>
      <c r="H20" s="45"/>
      <c r="I20" s="129">
        <f t="shared" ref="I20:I28" si="13">J20+K20</f>
        <v>0</v>
      </c>
      <c r="J20" s="45"/>
      <c r="K20" s="45"/>
      <c r="L20" s="129">
        <f t="shared" ref="L20:L28" si="14">M20+N20</f>
        <v>0</v>
      </c>
      <c r="M20" s="45"/>
      <c r="N20" s="45"/>
      <c r="O20" s="129">
        <f t="shared" ref="O20:O28" si="15">P20+Q20</f>
        <v>0</v>
      </c>
      <c r="P20" s="45">
        <v>0</v>
      </c>
      <c r="Q20" s="45">
        <v>0</v>
      </c>
      <c r="R20" s="129">
        <f t="shared" ref="R20:R28" si="16">S20+T20</f>
        <v>0</v>
      </c>
      <c r="S20" s="45"/>
      <c r="T20" s="45">
        <v>0</v>
      </c>
      <c r="U20" s="129">
        <f t="shared" ref="U20:U28" si="17">V20+W20</f>
        <v>0</v>
      </c>
      <c r="V20" s="45">
        <v>0</v>
      </c>
      <c r="W20" s="45">
        <v>0</v>
      </c>
      <c r="X20" s="129">
        <f t="shared" ref="X20:X28" si="18">Y20+Z20</f>
        <v>0</v>
      </c>
      <c r="Y20" s="45">
        <v>0</v>
      </c>
      <c r="Z20" s="45">
        <v>0</v>
      </c>
      <c r="AA20" s="129">
        <f t="shared" si="10"/>
        <v>0</v>
      </c>
      <c r="AB20" s="45"/>
      <c r="AC20" s="129"/>
      <c r="AD20" s="129">
        <f t="shared" si="11"/>
        <v>0</v>
      </c>
      <c r="AE20" s="135">
        <v>0</v>
      </c>
      <c r="AF20" s="135">
        <f t="shared" si="8"/>
        <v>0</v>
      </c>
    </row>
    <row r="21" ht="34.5" customHeight="true" spans="1:32">
      <c r="A21" s="43">
        <v>220</v>
      </c>
      <c r="B21" s="44" t="s">
        <v>441</v>
      </c>
      <c r="C21" s="129">
        <f t="shared" si="9"/>
        <v>9839.9525</v>
      </c>
      <c r="D21" s="45">
        <v>7123.4524</v>
      </c>
      <c r="E21" s="129">
        <v>2716.5001</v>
      </c>
      <c r="F21" s="129">
        <f t="shared" si="12"/>
        <v>0</v>
      </c>
      <c r="G21" s="45"/>
      <c r="H21" s="45"/>
      <c r="I21" s="129">
        <f t="shared" si="13"/>
        <v>0</v>
      </c>
      <c r="J21" s="45"/>
      <c r="K21" s="45"/>
      <c r="L21" s="129">
        <f t="shared" si="14"/>
        <v>0</v>
      </c>
      <c r="M21" s="45"/>
      <c r="N21" s="45"/>
      <c r="O21" s="129">
        <f t="shared" si="15"/>
        <v>0</v>
      </c>
      <c r="P21" s="45">
        <v>0</v>
      </c>
      <c r="Q21" s="45">
        <v>0</v>
      </c>
      <c r="R21" s="129">
        <f t="shared" si="16"/>
        <v>0</v>
      </c>
      <c r="S21" s="45"/>
      <c r="T21" s="45">
        <v>0</v>
      </c>
      <c r="U21" s="129">
        <f t="shared" si="17"/>
        <v>0</v>
      </c>
      <c r="V21" s="45">
        <v>0</v>
      </c>
      <c r="W21" s="45">
        <v>0</v>
      </c>
      <c r="X21" s="129">
        <f t="shared" si="18"/>
        <v>0</v>
      </c>
      <c r="Y21" s="45">
        <v>0</v>
      </c>
      <c r="Z21" s="45">
        <v>0</v>
      </c>
      <c r="AA21" s="129">
        <f t="shared" si="10"/>
        <v>-548.385489090909</v>
      </c>
      <c r="AB21" s="45">
        <v>-548.385489090909</v>
      </c>
      <c r="AC21" s="129"/>
      <c r="AD21" s="129">
        <f t="shared" si="11"/>
        <v>9291.56701090909</v>
      </c>
      <c r="AE21" s="135">
        <f t="shared" ref="AE21:AE28" si="19">D21+G21+J21+M21+P21+S21+V21+Y21+AB21</f>
        <v>6575.06691090909</v>
      </c>
      <c r="AF21" s="135">
        <f t="shared" si="8"/>
        <v>2716.5001</v>
      </c>
    </row>
    <row r="22" ht="34.5" customHeight="true" spans="1:32">
      <c r="A22" s="43">
        <v>221</v>
      </c>
      <c r="B22" s="44" t="s">
        <v>442</v>
      </c>
      <c r="C22" s="129">
        <f t="shared" si="9"/>
        <v>22854.93</v>
      </c>
      <c r="D22" s="45">
        <v>20346.74</v>
      </c>
      <c r="E22" s="129">
        <v>2508.19</v>
      </c>
      <c r="F22" s="129">
        <f t="shared" si="12"/>
        <v>3016</v>
      </c>
      <c r="G22" s="45">
        <v>3016</v>
      </c>
      <c r="H22" s="45"/>
      <c r="I22" s="129">
        <f t="shared" si="13"/>
        <v>0</v>
      </c>
      <c r="J22" s="45"/>
      <c r="K22" s="45"/>
      <c r="L22" s="129">
        <f t="shared" si="14"/>
        <v>0</v>
      </c>
      <c r="M22" s="45"/>
      <c r="N22" s="45"/>
      <c r="O22" s="129">
        <f t="shared" si="15"/>
        <v>0</v>
      </c>
      <c r="P22" s="45">
        <v>0</v>
      </c>
      <c r="Q22" s="45">
        <v>0</v>
      </c>
      <c r="R22" s="129">
        <f t="shared" si="16"/>
        <v>0</v>
      </c>
      <c r="S22" s="45">
        <v>0</v>
      </c>
      <c r="T22" s="45">
        <v>0</v>
      </c>
      <c r="U22" s="129">
        <f t="shared" si="17"/>
        <v>0</v>
      </c>
      <c r="V22" s="45">
        <v>0</v>
      </c>
      <c r="W22" s="45">
        <v>0</v>
      </c>
      <c r="X22" s="129">
        <f t="shared" si="18"/>
        <v>0</v>
      </c>
      <c r="Y22" s="45">
        <v>0</v>
      </c>
      <c r="Z22" s="45">
        <v>0</v>
      </c>
      <c r="AA22" s="129">
        <f t="shared" si="10"/>
        <v>-2767.06197527273</v>
      </c>
      <c r="AB22" s="45">
        <v>-2767.06197527273</v>
      </c>
      <c r="AC22" s="129"/>
      <c r="AD22" s="129">
        <f t="shared" si="11"/>
        <v>23103.8680247273</v>
      </c>
      <c r="AE22" s="135">
        <f t="shared" si="19"/>
        <v>20595.6780247273</v>
      </c>
      <c r="AF22" s="135">
        <f t="shared" si="8"/>
        <v>2508.19</v>
      </c>
    </row>
    <row r="23" ht="34.5" customHeight="true" spans="1:32">
      <c r="A23" s="43">
        <v>222</v>
      </c>
      <c r="B23" s="44" t="s">
        <v>443</v>
      </c>
      <c r="C23" s="129">
        <f t="shared" si="9"/>
        <v>3382</v>
      </c>
      <c r="D23" s="45">
        <v>3382</v>
      </c>
      <c r="E23" s="129"/>
      <c r="F23" s="129">
        <f t="shared" si="12"/>
        <v>0</v>
      </c>
      <c r="G23" s="45"/>
      <c r="H23" s="45"/>
      <c r="I23" s="129">
        <f t="shared" si="13"/>
        <v>0</v>
      </c>
      <c r="J23" s="45"/>
      <c r="K23" s="45"/>
      <c r="L23" s="129">
        <f t="shared" si="14"/>
        <v>0</v>
      </c>
      <c r="M23" s="45"/>
      <c r="N23" s="45"/>
      <c r="O23" s="129">
        <f t="shared" si="15"/>
        <v>0</v>
      </c>
      <c r="P23" s="45">
        <v>0</v>
      </c>
      <c r="Q23" s="45">
        <v>0</v>
      </c>
      <c r="R23" s="129">
        <f t="shared" si="16"/>
        <v>0</v>
      </c>
      <c r="S23" s="45">
        <v>0</v>
      </c>
      <c r="T23" s="45">
        <v>0</v>
      </c>
      <c r="U23" s="129">
        <f t="shared" si="17"/>
        <v>0</v>
      </c>
      <c r="V23" s="45">
        <v>0</v>
      </c>
      <c r="W23" s="45">
        <v>0</v>
      </c>
      <c r="X23" s="129">
        <f t="shared" si="18"/>
        <v>0</v>
      </c>
      <c r="Y23" s="45">
        <v>0</v>
      </c>
      <c r="Z23" s="45">
        <v>0</v>
      </c>
      <c r="AA23" s="129">
        <f t="shared" si="10"/>
        <v>-40.3659042727277</v>
      </c>
      <c r="AB23" s="45">
        <v>-40.3659042727277</v>
      </c>
      <c r="AC23" s="45"/>
      <c r="AD23" s="129">
        <f t="shared" si="11"/>
        <v>3341.63409572727</v>
      </c>
      <c r="AE23" s="135">
        <f t="shared" si="19"/>
        <v>3341.63409572727</v>
      </c>
      <c r="AF23" s="135">
        <f t="shared" si="8"/>
        <v>0</v>
      </c>
    </row>
    <row r="24" ht="35.1" customHeight="true" spans="1:32">
      <c r="A24" s="43">
        <v>224</v>
      </c>
      <c r="B24" s="44" t="s">
        <v>444</v>
      </c>
      <c r="C24" s="129">
        <f t="shared" si="9"/>
        <v>6393.286656</v>
      </c>
      <c r="D24" s="45">
        <v>5102.786656</v>
      </c>
      <c r="E24" s="129">
        <v>1290.5</v>
      </c>
      <c r="F24" s="129">
        <f t="shared" si="12"/>
        <v>76</v>
      </c>
      <c r="G24" s="45">
        <v>76</v>
      </c>
      <c r="H24" s="45"/>
      <c r="I24" s="129">
        <f t="shared" si="13"/>
        <v>417</v>
      </c>
      <c r="J24" s="45">
        <v>417</v>
      </c>
      <c r="K24" s="45"/>
      <c r="L24" s="129">
        <f t="shared" si="14"/>
        <v>0</v>
      </c>
      <c r="M24" s="45"/>
      <c r="N24" s="45"/>
      <c r="O24" s="129">
        <f t="shared" si="15"/>
        <v>0</v>
      </c>
      <c r="P24" s="45">
        <v>0</v>
      </c>
      <c r="Q24" s="45">
        <v>0</v>
      </c>
      <c r="R24" s="129">
        <f t="shared" si="16"/>
        <v>0</v>
      </c>
      <c r="S24" s="45">
        <v>0</v>
      </c>
      <c r="T24" s="45">
        <v>0</v>
      </c>
      <c r="U24" s="129">
        <f t="shared" si="17"/>
        <v>0</v>
      </c>
      <c r="V24" s="45">
        <v>0</v>
      </c>
      <c r="W24" s="45">
        <v>0</v>
      </c>
      <c r="X24" s="129">
        <f t="shared" si="18"/>
        <v>0</v>
      </c>
      <c r="Y24" s="45">
        <v>0</v>
      </c>
      <c r="Z24" s="45">
        <v>0</v>
      </c>
      <c r="AA24" s="129">
        <f t="shared" si="10"/>
        <v>-1928.063182</v>
      </c>
      <c r="AB24" s="45">
        <v>-1928.063182</v>
      </c>
      <c r="AC24" s="45"/>
      <c r="AD24" s="129">
        <f t="shared" si="11"/>
        <v>4958.223474</v>
      </c>
      <c r="AE24" s="135">
        <f t="shared" si="19"/>
        <v>3667.723474</v>
      </c>
      <c r="AF24" s="135">
        <f t="shared" si="8"/>
        <v>1290.5</v>
      </c>
    </row>
    <row r="25" ht="35.1" customHeight="true" spans="1:32">
      <c r="A25" s="43">
        <v>227</v>
      </c>
      <c r="B25" s="44" t="s">
        <v>445</v>
      </c>
      <c r="C25" s="129">
        <f t="shared" si="9"/>
        <v>18500</v>
      </c>
      <c r="D25" s="45">
        <v>15000</v>
      </c>
      <c r="E25" s="129">
        <v>3500</v>
      </c>
      <c r="F25" s="129">
        <f t="shared" si="12"/>
        <v>0</v>
      </c>
      <c r="G25" s="45"/>
      <c r="H25" s="45"/>
      <c r="I25" s="129">
        <f t="shared" si="13"/>
        <v>-15000</v>
      </c>
      <c r="J25" s="45">
        <v>-15000</v>
      </c>
      <c r="K25" s="45"/>
      <c r="L25" s="129">
        <f t="shared" si="14"/>
        <v>0</v>
      </c>
      <c r="M25" s="45"/>
      <c r="N25" s="45"/>
      <c r="O25" s="129">
        <f t="shared" si="15"/>
        <v>0</v>
      </c>
      <c r="P25" s="45">
        <v>0</v>
      </c>
      <c r="Q25" s="45">
        <v>0</v>
      </c>
      <c r="R25" s="129">
        <f t="shared" si="16"/>
        <v>0</v>
      </c>
      <c r="S25" s="45">
        <v>0</v>
      </c>
      <c r="T25" s="45">
        <v>0</v>
      </c>
      <c r="U25" s="129">
        <f t="shared" si="17"/>
        <v>0</v>
      </c>
      <c r="V25" s="45">
        <v>0</v>
      </c>
      <c r="W25" s="45">
        <v>0</v>
      </c>
      <c r="X25" s="129">
        <f t="shared" si="18"/>
        <v>0</v>
      </c>
      <c r="Y25" s="45">
        <v>0</v>
      </c>
      <c r="Z25" s="45">
        <v>0</v>
      </c>
      <c r="AA25" s="129">
        <f t="shared" si="10"/>
        <v>0</v>
      </c>
      <c r="AB25" s="45"/>
      <c r="AC25" s="45"/>
      <c r="AD25" s="129">
        <f t="shared" si="11"/>
        <v>3500</v>
      </c>
      <c r="AE25" s="135">
        <f t="shared" si="19"/>
        <v>0</v>
      </c>
      <c r="AF25" s="135">
        <f t="shared" si="8"/>
        <v>3500</v>
      </c>
    </row>
    <row r="26" ht="35.1" customHeight="true" spans="1:32">
      <c r="A26" s="43">
        <v>229</v>
      </c>
      <c r="B26" s="130" t="s">
        <v>446</v>
      </c>
      <c r="C26" s="129">
        <f t="shared" si="9"/>
        <v>19415.1724</v>
      </c>
      <c r="D26" s="45">
        <v>19415.1724</v>
      </c>
      <c r="E26" s="129"/>
      <c r="F26" s="129">
        <f t="shared" si="12"/>
        <v>0</v>
      </c>
      <c r="G26" s="45"/>
      <c r="H26" s="45"/>
      <c r="I26" s="129">
        <f t="shared" si="13"/>
        <v>0</v>
      </c>
      <c r="J26" s="45"/>
      <c r="K26" s="45"/>
      <c r="L26" s="129">
        <f t="shared" si="14"/>
        <v>0</v>
      </c>
      <c r="M26" s="45"/>
      <c r="N26" s="45"/>
      <c r="O26" s="129">
        <f t="shared" si="15"/>
        <v>0</v>
      </c>
      <c r="P26" s="45">
        <v>0</v>
      </c>
      <c r="Q26" s="45">
        <v>0</v>
      </c>
      <c r="R26" s="129">
        <f t="shared" si="16"/>
        <v>0</v>
      </c>
      <c r="S26" s="45">
        <v>0</v>
      </c>
      <c r="T26" s="45">
        <v>0</v>
      </c>
      <c r="U26" s="129">
        <f t="shared" si="17"/>
        <v>0</v>
      </c>
      <c r="V26" s="45">
        <v>0</v>
      </c>
      <c r="W26" s="45">
        <v>0</v>
      </c>
      <c r="X26" s="129">
        <f t="shared" si="18"/>
        <v>0</v>
      </c>
      <c r="Y26" s="45">
        <v>0</v>
      </c>
      <c r="Z26" s="45">
        <v>0</v>
      </c>
      <c r="AA26" s="129">
        <f t="shared" si="10"/>
        <v>-8326.530105</v>
      </c>
      <c r="AB26" s="45">
        <v>-8326.530105</v>
      </c>
      <c r="AC26" s="45"/>
      <c r="AD26" s="129">
        <f t="shared" si="11"/>
        <v>11088.642295</v>
      </c>
      <c r="AE26" s="135">
        <f t="shared" si="19"/>
        <v>11088.642295</v>
      </c>
      <c r="AF26" s="135">
        <f t="shared" si="8"/>
        <v>0</v>
      </c>
    </row>
    <row r="27" ht="35.1" customHeight="true" spans="1:32">
      <c r="A27" s="43">
        <v>232</v>
      </c>
      <c r="B27" s="47" t="s">
        <v>447</v>
      </c>
      <c r="C27" s="129">
        <f t="shared" si="9"/>
        <v>14055</v>
      </c>
      <c r="D27" s="45">
        <v>14055</v>
      </c>
      <c r="E27" s="129"/>
      <c r="F27" s="129">
        <f t="shared" si="12"/>
        <v>0</v>
      </c>
      <c r="G27" s="45"/>
      <c r="H27" s="45"/>
      <c r="I27" s="129">
        <f t="shared" si="13"/>
        <v>0</v>
      </c>
      <c r="J27" s="45"/>
      <c r="K27" s="45"/>
      <c r="L27" s="129">
        <f t="shared" si="14"/>
        <v>0</v>
      </c>
      <c r="M27" s="45"/>
      <c r="N27" s="45"/>
      <c r="O27" s="129">
        <f t="shared" si="15"/>
        <v>0</v>
      </c>
      <c r="P27" s="45">
        <v>0</v>
      </c>
      <c r="Q27" s="45">
        <v>0</v>
      </c>
      <c r="R27" s="129">
        <f t="shared" si="16"/>
        <v>0</v>
      </c>
      <c r="S27" s="45">
        <v>0</v>
      </c>
      <c r="T27" s="45">
        <v>0</v>
      </c>
      <c r="U27" s="129">
        <f t="shared" si="17"/>
        <v>0</v>
      </c>
      <c r="V27" s="45">
        <v>0</v>
      </c>
      <c r="W27" s="45">
        <v>0</v>
      </c>
      <c r="X27" s="129">
        <f t="shared" si="18"/>
        <v>0</v>
      </c>
      <c r="Y27" s="45">
        <v>0</v>
      </c>
      <c r="Z27" s="45">
        <v>0</v>
      </c>
      <c r="AA27" s="129">
        <f t="shared" si="10"/>
        <v>-1805</v>
      </c>
      <c r="AB27" s="45">
        <f>335-2140</f>
        <v>-1805</v>
      </c>
      <c r="AC27" s="45"/>
      <c r="AD27" s="129">
        <f t="shared" si="11"/>
        <v>12250</v>
      </c>
      <c r="AE27" s="135">
        <f t="shared" si="19"/>
        <v>12250</v>
      </c>
      <c r="AF27" s="135">
        <f t="shared" si="8"/>
        <v>0</v>
      </c>
    </row>
    <row r="28" ht="35.1" customHeight="true" spans="1:32">
      <c r="A28" s="131">
        <v>233</v>
      </c>
      <c r="B28" s="44" t="s">
        <v>448</v>
      </c>
      <c r="C28" s="129">
        <f t="shared" si="9"/>
        <v>150</v>
      </c>
      <c r="D28" s="45">
        <v>150</v>
      </c>
      <c r="E28" s="129"/>
      <c r="F28" s="129">
        <f t="shared" si="12"/>
        <v>0</v>
      </c>
      <c r="G28" s="45"/>
      <c r="H28" s="45"/>
      <c r="I28" s="129">
        <f t="shared" si="13"/>
        <v>0</v>
      </c>
      <c r="J28" s="45"/>
      <c r="K28" s="45"/>
      <c r="L28" s="129">
        <f t="shared" si="14"/>
        <v>0</v>
      </c>
      <c r="M28" s="45"/>
      <c r="N28" s="45"/>
      <c r="O28" s="129">
        <f t="shared" si="15"/>
        <v>0</v>
      </c>
      <c r="P28" s="45">
        <v>0</v>
      </c>
      <c r="Q28" s="45">
        <v>0</v>
      </c>
      <c r="R28" s="129">
        <f t="shared" si="16"/>
        <v>0</v>
      </c>
      <c r="S28" s="45">
        <v>0</v>
      </c>
      <c r="T28" s="45">
        <v>0</v>
      </c>
      <c r="U28" s="129">
        <f t="shared" si="17"/>
        <v>0</v>
      </c>
      <c r="V28" s="45">
        <v>0</v>
      </c>
      <c r="W28" s="45">
        <v>0</v>
      </c>
      <c r="X28" s="129">
        <f t="shared" si="18"/>
        <v>0</v>
      </c>
      <c r="Y28" s="45">
        <v>0</v>
      </c>
      <c r="Z28" s="45">
        <v>0</v>
      </c>
      <c r="AA28" s="129">
        <f t="shared" si="10"/>
        <v>-109</v>
      </c>
      <c r="AB28" s="45">
        <v>-109</v>
      </c>
      <c r="AC28" s="45"/>
      <c r="AD28" s="129">
        <f t="shared" si="11"/>
        <v>41</v>
      </c>
      <c r="AE28" s="135">
        <f t="shared" si="19"/>
        <v>41</v>
      </c>
      <c r="AF28" s="135">
        <f t="shared" si="8"/>
        <v>0</v>
      </c>
    </row>
    <row r="29" ht="34.5" customHeight="true" spans="1:32">
      <c r="A29" s="131"/>
      <c r="B29" s="132" t="s">
        <v>167</v>
      </c>
      <c r="C29" s="45">
        <f>SUM(C5:C28)</f>
        <v>1016700.000003</v>
      </c>
      <c r="D29" s="45">
        <f>SUM(D5:D28)</f>
        <v>736700.000004</v>
      </c>
      <c r="E29" s="45">
        <f t="shared" ref="E29:AF29" si="20">SUM(E5:E28)</f>
        <v>279999.999999</v>
      </c>
      <c r="F29" s="45">
        <f t="shared" si="20"/>
        <v>-7494</v>
      </c>
      <c r="G29" s="45">
        <f t="shared" si="20"/>
        <v>-7494</v>
      </c>
      <c r="H29" s="45">
        <f t="shared" si="20"/>
        <v>0</v>
      </c>
      <c r="I29" s="45">
        <f t="shared" si="20"/>
        <v>0</v>
      </c>
      <c r="J29" s="45">
        <f t="shared" si="20"/>
        <v>0</v>
      </c>
      <c r="K29" s="45">
        <f t="shared" si="20"/>
        <v>0</v>
      </c>
      <c r="L29" s="45">
        <f t="shared" si="20"/>
        <v>-52749.094377</v>
      </c>
      <c r="M29" s="45">
        <f t="shared" si="20"/>
        <v>-46136.094377</v>
      </c>
      <c r="N29" s="45">
        <f t="shared" si="20"/>
        <v>-6613</v>
      </c>
      <c r="O29" s="45">
        <f t="shared" si="20"/>
        <v>0</v>
      </c>
      <c r="P29" s="45">
        <f t="shared" si="20"/>
        <v>0</v>
      </c>
      <c r="Q29" s="45">
        <f t="shared" si="20"/>
        <v>0</v>
      </c>
      <c r="R29" s="45">
        <f t="shared" si="20"/>
        <v>37000</v>
      </c>
      <c r="S29" s="45">
        <f t="shared" si="20"/>
        <v>37000</v>
      </c>
      <c r="T29" s="45">
        <f t="shared" si="20"/>
        <v>0</v>
      </c>
      <c r="U29" s="45">
        <f t="shared" si="20"/>
        <v>18516</v>
      </c>
      <c r="V29" s="45">
        <f t="shared" si="20"/>
        <v>18516</v>
      </c>
      <c r="W29" s="45">
        <f t="shared" si="20"/>
        <v>0</v>
      </c>
      <c r="X29" s="45">
        <f t="shared" si="20"/>
        <v>0</v>
      </c>
      <c r="Y29" s="45">
        <f t="shared" si="20"/>
        <v>0</v>
      </c>
      <c r="Z29" s="45">
        <f t="shared" si="20"/>
        <v>0</v>
      </c>
      <c r="AA29" s="45">
        <f t="shared" si="20"/>
        <v>0.291670090899061</v>
      </c>
      <c r="AB29" s="45">
        <f t="shared" si="20"/>
        <v>0.291670090899061</v>
      </c>
      <c r="AC29" s="45">
        <f t="shared" si="20"/>
        <v>0</v>
      </c>
      <c r="AD29" s="45">
        <f t="shared" si="20"/>
        <v>1011973.19729609</v>
      </c>
      <c r="AE29" s="45">
        <f t="shared" si="20"/>
        <v>738586.197297091</v>
      </c>
      <c r="AF29" s="45">
        <f t="shared" si="20"/>
        <v>273386.999999</v>
      </c>
    </row>
    <row r="30" spans="30:32">
      <c r="AD30" s="136"/>
      <c r="AE30" s="136"/>
      <c r="AF30" s="136"/>
    </row>
  </sheetData>
  <mergeCells count="25">
    <mergeCell ref="A1:AF1"/>
    <mergeCell ref="G2:Y2"/>
    <mergeCell ref="AE2:AF2"/>
    <mergeCell ref="D3:E3"/>
    <mergeCell ref="G3:H3"/>
    <mergeCell ref="J3:K3"/>
    <mergeCell ref="M3:N3"/>
    <mergeCell ref="P3:Q3"/>
    <mergeCell ref="S3:T3"/>
    <mergeCell ref="V3:W3"/>
    <mergeCell ref="Y3:Z3"/>
    <mergeCell ref="AB3:AC3"/>
    <mergeCell ref="AE3:AF3"/>
    <mergeCell ref="A3:A4"/>
    <mergeCell ref="B3:B4"/>
    <mergeCell ref="C3:C4"/>
    <mergeCell ref="F3:F4"/>
    <mergeCell ref="I3:I4"/>
    <mergeCell ref="L3:L4"/>
    <mergeCell ref="O3:O4"/>
    <mergeCell ref="R3:R4"/>
    <mergeCell ref="U3:U4"/>
    <mergeCell ref="X3:X4"/>
    <mergeCell ref="AA3:AA4"/>
    <mergeCell ref="AD3:AD4"/>
  </mergeCells>
  <pageMargins left="0.700694444444445" right="0.700694444444445" top="0.751388888888889" bottom="0.751388888888889" header="0.298611111111111" footer="0.298611111111111"/>
  <pageSetup paperSize="9" scale="49" firstPageNumber="22" orientation="landscape" useFirstPageNumber="true" horizontalDpi="600"/>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82"/>
  <sheetViews>
    <sheetView showZeros="0" topLeftCell="A259" workbookViewId="0">
      <selection activeCell="J36" sqref="J36"/>
    </sheetView>
  </sheetViews>
  <sheetFormatPr defaultColWidth="9" defaultRowHeight="15.75"/>
  <cols>
    <col min="1" max="1" width="5.5" style="73" customWidth="true"/>
    <col min="2" max="2" width="85.625" style="74" customWidth="true"/>
    <col min="3" max="3" width="13.875" style="75" customWidth="true"/>
    <col min="4" max="4" width="16.625" style="75" customWidth="true"/>
    <col min="5" max="6" width="13.5" style="75" customWidth="true"/>
    <col min="7" max="7" width="17.875" style="75" customWidth="true"/>
    <col min="8" max="8" width="17.125" style="75" customWidth="true"/>
    <col min="9" max="9" width="18.625" style="76" customWidth="true"/>
    <col min="10" max="10" width="9.25" style="76"/>
    <col min="11" max="11" width="15.375" style="76" customWidth="true"/>
    <col min="12" max="16384" width="9" style="76"/>
  </cols>
  <sheetData>
    <row r="1" ht="41.25" customHeight="true" spans="1:9">
      <c r="A1" s="77" t="s">
        <v>449</v>
      </c>
      <c r="B1" s="77"/>
      <c r="C1" s="78"/>
      <c r="D1" s="78"/>
      <c r="E1" s="78"/>
      <c r="F1" s="78"/>
      <c r="G1" s="78"/>
      <c r="H1" s="78"/>
      <c r="I1" s="77"/>
    </row>
    <row r="2" ht="33" customHeight="true" spans="1:9">
      <c r="A2" s="79" t="s">
        <v>1</v>
      </c>
      <c r="C2" s="80" t="str">
        <f>附表1收入调整表2024!E2</f>
        <v>编制日期：2024年12月</v>
      </c>
      <c r="D2" s="80"/>
      <c r="E2" s="80"/>
      <c r="F2" s="80"/>
      <c r="G2" s="80"/>
      <c r="I2" s="96" t="s">
        <v>3</v>
      </c>
    </row>
    <row r="3" s="66" customFormat="true" ht="21.95" customHeight="true" spans="1:12">
      <c r="A3" s="81" t="s">
        <v>158</v>
      </c>
      <c r="B3" s="82" t="s">
        <v>159</v>
      </c>
      <c r="C3" s="83" t="s">
        <v>450</v>
      </c>
      <c r="D3" s="84" t="s">
        <v>161</v>
      </c>
      <c r="E3" s="94"/>
      <c r="F3" s="95"/>
      <c r="G3" s="83" t="s">
        <v>162</v>
      </c>
      <c r="H3" s="83" t="s">
        <v>163</v>
      </c>
      <c r="I3" s="97" t="s">
        <v>164</v>
      </c>
      <c r="K3" s="98"/>
      <c r="L3" s="98"/>
    </row>
    <row r="4" s="66" customFormat="true" ht="21.95" customHeight="true" spans="1:12">
      <c r="A4" s="81"/>
      <c r="B4" s="82"/>
      <c r="C4" s="85"/>
      <c r="D4" s="83" t="s">
        <v>9</v>
      </c>
      <c r="E4" s="83" t="s">
        <v>165</v>
      </c>
      <c r="F4" s="83" t="s">
        <v>166</v>
      </c>
      <c r="G4" s="85"/>
      <c r="H4" s="85"/>
      <c r="I4" s="99"/>
      <c r="K4" s="98"/>
      <c r="L4" s="98"/>
    </row>
    <row r="5" s="66" customFormat="true" ht="21.95" customHeight="true" spans="1:12">
      <c r="A5" s="81"/>
      <c r="B5" s="82"/>
      <c r="C5" s="86"/>
      <c r="D5" s="86"/>
      <c r="E5" s="86"/>
      <c r="F5" s="86"/>
      <c r="G5" s="86"/>
      <c r="H5" s="86"/>
      <c r="I5" s="100"/>
      <c r="K5" s="98"/>
      <c r="L5" s="98"/>
    </row>
    <row r="6" s="67" customFormat="true" spans="1:12">
      <c r="A6" s="87"/>
      <c r="B6" s="82" t="s">
        <v>167</v>
      </c>
      <c r="C6" s="88">
        <f t="shared" ref="C6:H6" si="0">C7+C156</f>
        <v>571086.626424</v>
      </c>
      <c r="D6" s="88">
        <f t="shared" si="0"/>
        <v>964518.230002</v>
      </c>
      <c r="E6" s="88">
        <f t="shared" si="0"/>
        <v>818668.230002</v>
      </c>
      <c r="F6" s="88">
        <f t="shared" si="0"/>
        <v>145850</v>
      </c>
      <c r="G6" s="88">
        <f t="shared" si="0"/>
        <v>-393431.603578</v>
      </c>
      <c r="H6" s="88">
        <f t="shared" si="0"/>
        <v>393431.603578</v>
      </c>
      <c r="I6" s="101"/>
      <c r="K6" s="102"/>
      <c r="L6" s="102"/>
    </row>
    <row r="7" s="68" customFormat="true" spans="1:12">
      <c r="A7" s="87" t="s">
        <v>168</v>
      </c>
      <c r="B7" s="89" t="s">
        <v>169</v>
      </c>
      <c r="C7" s="88">
        <f>C8+C122</f>
        <v>560371.626424</v>
      </c>
      <c r="D7" s="88">
        <f t="shared" ref="D7:H7" si="1">D8+D122</f>
        <v>81957.230002</v>
      </c>
      <c r="E7" s="88">
        <f t="shared" si="1"/>
        <v>67935.230002</v>
      </c>
      <c r="F7" s="88">
        <f t="shared" si="1"/>
        <v>14022</v>
      </c>
      <c r="G7" s="88">
        <f t="shared" si="1"/>
        <v>478414.396422</v>
      </c>
      <c r="H7" s="88">
        <f t="shared" si="1"/>
        <v>-478414.396422</v>
      </c>
      <c r="I7" s="103"/>
      <c r="K7" s="104"/>
      <c r="L7" s="104"/>
    </row>
    <row r="8" s="69" customFormat="true" spans="1:12">
      <c r="A8" s="87"/>
      <c r="B8" s="90" t="s">
        <v>451</v>
      </c>
      <c r="C8" s="88">
        <f t="shared" ref="C8:H8" si="2">SUM(C9:C121)</f>
        <v>501649.626424</v>
      </c>
      <c r="D8" s="88">
        <f t="shared" si="2"/>
        <v>49235.230002</v>
      </c>
      <c r="E8" s="88">
        <f t="shared" si="2"/>
        <v>49235.230002</v>
      </c>
      <c r="F8" s="88">
        <f t="shared" si="2"/>
        <v>0</v>
      </c>
      <c r="G8" s="88">
        <f t="shared" si="2"/>
        <v>452414.396422</v>
      </c>
      <c r="H8" s="88">
        <f t="shared" si="2"/>
        <v>-452414.396422</v>
      </c>
      <c r="I8" s="103"/>
      <c r="K8" s="105"/>
      <c r="L8" s="105"/>
    </row>
    <row r="9" spans="1:12">
      <c r="A9" s="91">
        <v>1</v>
      </c>
      <c r="B9" s="92" t="s">
        <v>452</v>
      </c>
      <c r="C9" s="93">
        <v>3011</v>
      </c>
      <c r="D9" s="93">
        <f>E9</f>
        <v>0</v>
      </c>
      <c r="E9" s="93">
        <v>0</v>
      </c>
      <c r="F9" s="93">
        <f>D9-E9</f>
        <v>0</v>
      </c>
      <c r="G9" s="93">
        <f>C9-D9</f>
        <v>3011</v>
      </c>
      <c r="H9" s="88">
        <f>-G9</f>
        <v>-3011</v>
      </c>
      <c r="I9" s="106"/>
      <c r="K9" s="107"/>
      <c r="L9" s="107"/>
    </row>
    <row r="10" spans="1:12">
      <c r="A10" s="91">
        <v>2</v>
      </c>
      <c r="B10" s="92" t="s">
        <v>453</v>
      </c>
      <c r="C10" s="93">
        <v>1398.3585</v>
      </c>
      <c r="D10" s="93">
        <f t="shared" ref="D10:D54" si="3">E10</f>
        <v>955.1</v>
      </c>
      <c r="E10" s="93">
        <v>955.1</v>
      </c>
      <c r="F10" s="93">
        <f t="shared" ref="F10:F54" si="4">D10-E10</f>
        <v>0</v>
      </c>
      <c r="G10" s="93">
        <f t="shared" ref="G10:G54" si="5">C10-D10</f>
        <v>443.2585</v>
      </c>
      <c r="H10" s="88">
        <f t="shared" ref="H10:H54" si="6">-G10</f>
        <v>-443.2585</v>
      </c>
      <c r="I10" s="106"/>
      <c r="K10" s="107"/>
      <c r="L10" s="107"/>
    </row>
    <row r="11" spans="1:12">
      <c r="A11" s="91">
        <v>3</v>
      </c>
      <c r="B11" s="92" t="s">
        <v>454</v>
      </c>
      <c r="C11" s="93">
        <v>7923.94846</v>
      </c>
      <c r="D11" s="93">
        <f t="shared" si="3"/>
        <v>318.485</v>
      </c>
      <c r="E11" s="93">
        <v>318.485</v>
      </c>
      <c r="F11" s="93">
        <f t="shared" si="4"/>
        <v>0</v>
      </c>
      <c r="G11" s="93">
        <f t="shared" si="5"/>
        <v>7605.46346</v>
      </c>
      <c r="H11" s="88">
        <f t="shared" si="6"/>
        <v>-7605.46346</v>
      </c>
      <c r="I11" s="106"/>
      <c r="K11" s="107"/>
      <c r="L11" s="107"/>
    </row>
    <row r="12" spans="1:12">
      <c r="A12" s="91">
        <v>4</v>
      </c>
      <c r="B12" s="92" t="s">
        <v>455</v>
      </c>
      <c r="C12" s="93">
        <v>1000</v>
      </c>
      <c r="D12" s="93">
        <f t="shared" si="3"/>
        <v>780.5102</v>
      </c>
      <c r="E12" s="93">
        <v>780.5102</v>
      </c>
      <c r="F12" s="93">
        <f t="shared" si="4"/>
        <v>0</v>
      </c>
      <c r="G12" s="93">
        <f t="shared" si="5"/>
        <v>219.4898</v>
      </c>
      <c r="H12" s="88">
        <f t="shared" si="6"/>
        <v>-219.4898</v>
      </c>
      <c r="I12" s="106"/>
      <c r="K12" s="107"/>
      <c r="L12" s="107"/>
    </row>
    <row r="13" spans="1:12">
      <c r="A13" s="91">
        <v>5</v>
      </c>
      <c r="B13" s="92" t="s">
        <v>456</v>
      </c>
      <c r="C13" s="93">
        <v>2180.9837</v>
      </c>
      <c r="D13" s="93">
        <f t="shared" si="3"/>
        <v>0</v>
      </c>
      <c r="E13" s="93">
        <v>0</v>
      </c>
      <c r="F13" s="93">
        <f t="shared" si="4"/>
        <v>0</v>
      </c>
      <c r="G13" s="93">
        <f t="shared" si="5"/>
        <v>2180.9837</v>
      </c>
      <c r="H13" s="88">
        <f t="shared" si="6"/>
        <v>-2180.9837</v>
      </c>
      <c r="I13" s="106"/>
      <c r="K13" s="107"/>
      <c r="L13" s="107"/>
    </row>
    <row r="14" spans="1:12">
      <c r="A14" s="91">
        <v>6</v>
      </c>
      <c r="B14" s="92" t="s">
        <v>457</v>
      </c>
      <c r="C14" s="93">
        <v>2400</v>
      </c>
      <c r="D14" s="93">
        <f t="shared" si="3"/>
        <v>510</v>
      </c>
      <c r="E14" s="93">
        <v>510</v>
      </c>
      <c r="F14" s="93">
        <f t="shared" si="4"/>
        <v>0</v>
      </c>
      <c r="G14" s="93">
        <f t="shared" si="5"/>
        <v>1890</v>
      </c>
      <c r="H14" s="88">
        <f t="shared" si="6"/>
        <v>-1890</v>
      </c>
      <c r="I14" s="106"/>
      <c r="K14" s="107"/>
      <c r="L14" s="107"/>
    </row>
    <row r="15" spans="1:12">
      <c r="A15" s="91">
        <v>7</v>
      </c>
      <c r="B15" s="92" t="s">
        <v>458</v>
      </c>
      <c r="C15" s="93">
        <v>3569.02</v>
      </c>
      <c r="D15" s="93">
        <f t="shared" si="3"/>
        <v>582.42</v>
      </c>
      <c r="E15" s="93">
        <v>582.42</v>
      </c>
      <c r="F15" s="93">
        <f t="shared" si="4"/>
        <v>0</v>
      </c>
      <c r="G15" s="93">
        <f t="shared" si="5"/>
        <v>2986.6</v>
      </c>
      <c r="H15" s="88">
        <f t="shared" si="6"/>
        <v>-2986.6</v>
      </c>
      <c r="I15" s="106"/>
      <c r="K15" s="107"/>
      <c r="L15" s="107"/>
    </row>
    <row r="16" spans="1:12">
      <c r="A16" s="91">
        <v>8</v>
      </c>
      <c r="B16" s="92" t="s">
        <v>459</v>
      </c>
      <c r="C16" s="93">
        <v>1600</v>
      </c>
      <c r="D16" s="93">
        <f t="shared" si="3"/>
        <v>0</v>
      </c>
      <c r="E16" s="93">
        <v>0</v>
      </c>
      <c r="F16" s="93">
        <f t="shared" si="4"/>
        <v>0</v>
      </c>
      <c r="G16" s="93">
        <f t="shared" si="5"/>
        <v>1600</v>
      </c>
      <c r="H16" s="88">
        <f t="shared" si="6"/>
        <v>-1600</v>
      </c>
      <c r="I16" s="106"/>
      <c r="K16" s="107"/>
      <c r="L16" s="107"/>
    </row>
    <row r="17" spans="1:12">
      <c r="A17" s="91">
        <v>9</v>
      </c>
      <c r="B17" s="92" t="s">
        <v>460</v>
      </c>
      <c r="C17" s="93">
        <v>1277.52</v>
      </c>
      <c r="D17" s="93">
        <f t="shared" si="3"/>
        <v>0</v>
      </c>
      <c r="E17" s="93">
        <v>0</v>
      </c>
      <c r="F17" s="93">
        <f t="shared" si="4"/>
        <v>0</v>
      </c>
      <c r="G17" s="93">
        <f t="shared" si="5"/>
        <v>1277.52</v>
      </c>
      <c r="H17" s="88">
        <f t="shared" si="6"/>
        <v>-1277.52</v>
      </c>
      <c r="I17" s="106"/>
      <c r="K17" s="107"/>
      <c r="L17" s="107"/>
    </row>
    <row r="18" spans="1:12">
      <c r="A18" s="91">
        <v>10</v>
      </c>
      <c r="B18" s="92" t="s">
        <v>461</v>
      </c>
      <c r="C18" s="93">
        <v>2973.88</v>
      </c>
      <c r="D18" s="93">
        <f t="shared" si="3"/>
        <v>0</v>
      </c>
      <c r="E18" s="93">
        <v>0</v>
      </c>
      <c r="F18" s="93">
        <f t="shared" si="4"/>
        <v>0</v>
      </c>
      <c r="G18" s="93">
        <f t="shared" si="5"/>
        <v>2973.88</v>
      </c>
      <c r="H18" s="88">
        <f t="shared" si="6"/>
        <v>-2973.88</v>
      </c>
      <c r="I18" s="106"/>
      <c r="K18" s="107"/>
      <c r="L18" s="107"/>
    </row>
    <row r="19" spans="1:12">
      <c r="A19" s="91">
        <v>11</v>
      </c>
      <c r="B19" s="92" t="s">
        <v>462</v>
      </c>
      <c r="C19" s="93">
        <v>1910</v>
      </c>
      <c r="D19" s="93">
        <f t="shared" si="3"/>
        <v>1870.789549</v>
      </c>
      <c r="E19" s="93">
        <v>1870.789549</v>
      </c>
      <c r="F19" s="93">
        <f t="shared" si="4"/>
        <v>0</v>
      </c>
      <c r="G19" s="93">
        <f t="shared" si="5"/>
        <v>39.2104509999999</v>
      </c>
      <c r="H19" s="88">
        <f t="shared" si="6"/>
        <v>-39.2104509999999</v>
      </c>
      <c r="I19" s="106"/>
      <c r="K19" s="107"/>
      <c r="L19" s="107"/>
    </row>
    <row r="20" spans="1:12">
      <c r="A20" s="91">
        <v>12</v>
      </c>
      <c r="B20" s="92" t="s">
        <v>463</v>
      </c>
      <c r="C20" s="93">
        <v>5500</v>
      </c>
      <c r="D20" s="93">
        <f t="shared" si="3"/>
        <v>116.52</v>
      </c>
      <c r="E20" s="93">
        <v>116.52</v>
      </c>
      <c r="F20" s="93">
        <f t="shared" si="4"/>
        <v>0</v>
      </c>
      <c r="G20" s="93">
        <f t="shared" si="5"/>
        <v>5383.48</v>
      </c>
      <c r="H20" s="88">
        <f t="shared" si="6"/>
        <v>-5383.48</v>
      </c>
      <c r="I20" s="106"/>
      <c r="K20" s="107"/>
      <c r="L20" s="107"/>
    </row>
    <row r="21" spans="1:12">
      <c r="A21" s="91">
        <v>13</v>
      </c>
      <c r="B21" s="92" t="s">
        <v>464</v>
      </c>
      <c r="C21" s="93">
        <v>8000</v>
      </c>
      <c r="D21" s="93">
        <f t="shared" si="3"/>
        <v>3346.485577</v>
      </c>
      <c r="E21" s="93">
        <v>3346.485577</v>
      </c>
      <c r="F21" s="93">
        <f t="shared" si="4"/>
        <v>0</v>
      </c>
      <c r="G21" s="93">
        <f t="shared" si="5"/>
        <v>4653.514423</v>
      </c>
      <c r="H21" s="88">
        <f t="shared" si="6"/>
        <v>-4653.514423</v>
      </c>
      <c r="I21" s="106"/>
      <c r="K21" s="107"/>
      <c r="L21" s="107"/>
    </row>
    <row r="22" spans="1:12">
      <c r="A22" s="91">
        <v>14</v>
      </c>
      <c r="B22" s="92" t="s">
        <v>465</v>
      </c>
      <c r="C22" s="93">
        <v>1420</v>
      </c>
      <c r="D22" s="93">
        <f t="shared" si="3"/>
        <v>2300</v>
      </c>
      <c r="E22" s="93">
        <v>2300</v>
      </c>
      <c r="F22" s="93">
        <f t="shared" si="4"/>
        <v>0</v>
      </c>
      <c r="G22" s="93">
        <f t="shared" si="5"/>
        <v>-880</v>
      </c>
      <c r="H22" s="88">
        <f t="shared" si="6"/>
        <v>880</v>
      </c>
      <c r="I22" s="106"/>
      <c r="K22" s="107"/>
      <c r="L22" s="107"/>
    </row>
    <row r="23" spans="1:12">
      <c r="A23" s="91">
        <v>15</v>
      </c>
      <c r="B23" s="92" t="s">
        <v>466</v>
      </c>
      <c r="C23" s="93">
        <v>1160.52</v>
      </c>
      <c r="D23" s="93">
        <f t="shared" si="3"/>
        <v>80</v>
      </c>
      <c r="E23" s="93">
        <v>80</v>
      </c>
      <c r="F23" s="93">
        <f t="shared" si="4"/>
        <v>0</v>
      </c>
      <c r="G23" s="93">
        <f t="shared" si="5"/>
        <v>1080.52</v>
      </c>
      <c r="H23" s="88">
        <f t="shared" si="6"/>
        <v>-1080.52</v>
      </c>
      <c r="I23" s="106"/>
      <c r="K23" s="107"/>
      <c r="L23" s="107"/>
    </row>
    <row r="24" spans="1:12">
      <c r="A24" s="91">
        <v>16</v>
      </c>
      <c r="B24" s="92" t="s">
        <v>467</v>
      </c>
      <c r="C24" s="93">
        <v>3200</v>
      </c>
      <c r="D24" s="93">
        <f t="shared" si="3"/>
        <v>131.45</v>
      </c>
      <c r="E24" s="93">
        <v>131.45</v>
      </c>
      <c r="F24" s="93">
        <f t="shared" si="4"/>
        <v>0</v>
      </c>
      <c r="G24" s="93">
        <f t="shared" si="5"/>
        <v>3068.55</v>
      </c>
      <c r="H24" s="88">
        <f t="shared" si="6"/>
        <v>-3068.55</v>
      </c>
      <c r="I24" s="106"/>
      <c r="K24" s="107"/>
      <c r="L24" s="107"/>
    </row>
    <row r="25" spans="1:12">
      <c r="A25" s="91">
        <v>17</v>
      </c>
      <c r="B25" s="92" t="s">
        <v>468</v>
      </c>
      <c r="C25" s="93">
        <v>1225</v>
      </c>
      <c r="D25" s="93">
        <f t="shared" si="3"/>
        <v>1500</v>
      </c>
      <c r="E25" s="93">
        <v>1500</v>
      </c>
      <c r="F25" s="93">
        <f t="shared" si="4"/>
        <v>0</v>
      </c>
      <c r="G25" s="93">
        <f t="shared" si="5"/>
        <v>-275</v>
      </c>
      <c r="H25" s="88">
        <f t="shared" si="6"/>
        <v>275</v>
      </c>
      <c r="I25" s="106"/>
      <c r="K25" s="107"/>
      <c r="L25" s="107"/>
    </row>
    <row r="26" spans="1:12">
      <c r="A26" s="91">
        <v>18</v>
      </c>
      <c r="B26" s="92" t="s">
        <v>469</v>
      </c>
      <c r="C26" s="93">
        <v>1602</v>
      </c>
      <c r="D26" s="93">
        <f t="shared" si="3"/>
        <v>78</v>
      </c>
      <c r="E26" s="93">
        <v>78</v>
      </c>
      <c r="F26" s="93">
        <f t="shared" si="4"/>
        <v>0</v>
      </c>
      <c r="G26" s="93">
        <f t="shared" si="5"/>
        <v>1524</v>
      </c>
      <c r="H26" s="88">
        <f t="shared" si="6"/>
        <v>-1524</v>
      </c>
      <c r="I26" s="106"/>
      <c r="K26" s="107"/>
      <c r="L26" s="107"/>
    </row>
    <row r="27" spans="1:12">
      <c r="A27" s="91">
        <v>19</v>
      </c>
      <c r="B27" s="92" t="s">
        <v>310</v>
      </c>
      <c r="C27" s="93">
        <v>80000</v>
      </c>
      <c r="D27" s="93">
        <f t="shared" si="3"/>
        <v>308.57</v>
      </c>
      <c r="E27" s="93">
        <v>308.57</v>
      </c>
      <c r="F27" s="93">
        <f t="shared" si="4"/>
        <v>0</v>
      </c>
      <c r="G27" s="93">
        <f t="shared" si="5"/>
        <v>79691.43</v>
      </c>
      <c r="H27" s="88">
        <f t="shared" si="6"/>
        <v>-79691.43</v>
      </c>
      <c r="I27" s="106"/>
      <c r="K27" s="107"/>
      <c r="L27" s="107"/>
    </row>
    <row r="28" spans="1:12">
      <c r="A28" s="91">
        <v>20</v>
      </c>
      <c r="B28" s="92" t="s">
        <v>470</v>
      </c>
      <c r="C28" s="93">
        <v>7760</v>
      </c>
      <c r="D28" s="93">
        <f t="shared" si="3"/>
        <v>21024.156</v>
      </c>
      <c r="E28" s="93">
        <v>21024.156</v>
      </c>
      <c r="F28" s="93">
        <f t="shared" si="4"/>
        <v>0</v>
      </c>
      <c r="G28" s="93">
        <f t="shared" si="5"/>
        <v>-13264.156</v>
      </c>
      <c r="H28" s="88">
        <f t="shared" si="6"/>
        <v>13264.156</v>
      </c>
      <c r="I28" s="106"/>
      <c r="K28" s="108"/>
      <c r="L28" s="107"/>
    </row>
    <row r="29" spans="1:12">
      <c r="A29" s="91">
        <v>21</v>
      </c>
      <c r="B29" s="92" t="s">
        <v>471</v>
      </c>
      <c r="C29" s="93">
        <v>8800</v>
      </c>
      <c r="D29" s="93">
        <f t="shared" si="3"/>
        <v>0</v>
      </c>
      <c r="E29" s="93">
        <v>0</v>
      </c>
      <c r="F29" s="93">
        <f t="shared" si="4"/>
        <v>0</v>
      </c>
      <c r="G29" s="93">
        <f t="shared" si="5"/>
        <v>8800</v>
      </c>
      <c r="H29" s="88">
        <f t="shared" si="6"/>
        <v>-8800</v>
      </c>
      <c r="I29" s="106"/>
      <c r="K29" s="107"/>
      <c r="L29" s="107"/>
    </row>
    <row r="30" spans="1:12">
      <c r="A30" s="91">
        <v>22</v>
      </c>
      <c r="B30" s="92" t="s">
        <v>472</v>
      </c>
      <c r="C30" s="93">
        <v>1520</v>
      </c>
      <c r="D30" s="93">
        <f t="shared" si="3"/>
        <v>266.9375</v>
      </c>
      <c r="E30" s="93">
        <v>266.9375</v>
      </c>
      <c r="F30" s="93">
        <f t="shared" si="4"/>
        <v>0</v>
      </c>
      <c r="G30" s="93">
        <f t="shared" si="5"/>
        <v>1253.0625</v>
      </c>
      <c r="H30" s="88">
        <f t="shared" si="6"/>
        <v>-1253.0625</v>
      </c>
      <c r="I30" s="106"/>
      <c r="K30" s="107"/>
      <c r="L30" s="107"/>
    </row>
    <row r="31" spans="1:12">
      <c r="A31" s="91">
        <v>23</v>
      </c>
      <c r="B31" s="92" t="s">
        <v>473</v>
      </c>
      <c r="C31" s="93">
        <v>13840</v>
      </c>
      <c r="D31" s="93">
        <f t="shared" si="3"/>
        <v>520</v>
      </c>
      <c r="E31" s="93">
        <v>520</v>
      </c>
      <c r="F31" s="93">
        <f t="shared" si="4"/>
        <v>0</v>
      </c>
      <c r="G31" s="93">
        <f t="shared" si="5"/>
        <v>13320</v>
      </c>
      <c r="H31" s="88">
        <f t="shared" si="6"/>
        <v>-13320</v>
      </c>
      <c r="I31" s="106"/>
      <c r="K31" s="107"/>
      <c r="L31" s="107"/>
    </row>
    <row r="32" spans="1:12">
      <c r="A32" s="91">
        <v>24</v>
      </c>
      <c r="B32" s="92" t="s">
        <v>474</v>
      </c>
      <c r="C32" s="93">
        <v>14640</v>
      </c>
      <c r="D32" s="93">
        <f t="shared" si="3"/>
        <v>3135</v>
      </c>
      <c r="E32" s="93">
        <v>3135</v>
      </c>
      <c r="F32" s="93">
        <f t="shared" si="4"/>
        <v>0</v>
      </c>
      <c r="G32" s="93">
        <f t="shared" si="5"/>
        <v>11505</v>
      </c>
      <c r="H32" s="88">
        <f t="shared" si="6"/>
        <v>-11505</v>
      </c>
      <c r="I32" s="106"/>
      <c r="K32" s="107"/>
      <c r="L32" s="107"/>
    </row>
    <row r="33" spans="1:12">
      <c r="A33" s="91">
        <v>25</v>
      </c>
      <c r="B33" s="92" t="s">
        <v>475</v>
      </c>
      <c r="C33" s="93">
        <v>2400</v>
      </c>
      <c r="D33" s="93">
        <f t="shared" si="3"/>
        <v>0</v>
      </c>
      <c r="E33" s="93">
        <v>0</v>
      </c>
      <c r="F33" s="93">
        <f t="shared" si="4"/>
        <v>0</v>
      </c>
      <c r="G33" s="93">
        <f t="shared" si="5"/>
        <v>2400</v>
      </c>
      <c r="H33" s="88">
        <f t="shared" si="6"/>
        <v>-2400</v>
      </c>
      <c r="I33" s="106"/>
      <c r="K33" s="107"/>
      <c r="L33" s="107"/>
    </row>
    <row r="34" spans="1:12">
      <c r="A34" s="91">
        <v>26</v>
      </c>
      <c r="B34" s="92" t="s">
        <v>476</v>
      </c>
      <c r="C34" s="93">
        <v>1600</v>
      </c>
      <c r="D34" s="93">
        <f t="shared" si="3"/>
        <v>88.8945</v>
      </c>
      <c r="E34" s="93">
        <v>88.8945</v>
      </c>
      <c r="F34" s="93">
        <f t="shared" si="4"/>
        <v>0</v>
      </c>
      <c r="G34" s="93">
        <f t="shared" si="5"/>
        <v>1511.1055</v>
      </c>
      <c r="H34" s="88">
        <f t="shared" si="6"/>
        <v>-1511.1055</v>
      </c>
      <c r="I34" s="106"/>
      <c r="K34" s="107"/>
      <c r="L34" s="107"/>
    </row>
    <row r="35" spans="1:12">
      <c r="A35" s="91">
        <v>27</v>
      </c>
      <c r="B35" s="92" t="s">
        <v>345</v>
      </c>
      <c r="C35" s="93">
        <v>1066.4</v>
      </c>
      <c r="D35" s="93">
        <f t="shared" si="3"/>
        <v>496.953973</v>
      </c>
      <c r="E35" s="93">
        <v>496.953973</v>
      </c>
      <c r="F35" s="93">
        <f t="shared" si="4"/>
        <v>0</v>
      </c>
      <c r="G35" s="93">
        <f t="shared" si="5"/>
        <v>569.446027</v>
      </c>
      <c r="H35" s="88">
        <f t="shared" si="6"/>
        <v>-569.446027</v>
      </c>
      <c r="I35" s="106"/>
      <c r="K35" s="107"/>
      <c r="L35" s="107"/>
    </row>
    <row r="36" spans="1:12">
      <c r="A36" s="91">
        <v>28</v>
      </c>
      <c r="B36" s="92" t="s">
        <v>477</v>
      </c>
      <c r="C36" s="93">
        <v>2000</v>
      </c>
      <c r="D36" s="93">
        <f t="shared" si="3"/>
        <v>0</v>
      </c>
      <c r="E36" s="93">
        <v>0</v>
      </c>
      <c r="F36" s="93">
        <f t="shared" si="4"/>
        <v>0</v>
      </c>
      <c r="G36" s="93">
        <f t="shared" si="5"/>
        <v>2000</v>
      </c>
      <c r="H36" s="88">
        <f t="shared" si="6"/>
        <v>-2000</v>
      </c>
      <c r="I36" s="106"/>
      <c r="K36" s="107"/>
      <c r="L36" s="107"/>
    </row>
    <row r="37" spans="1:12">
      <c r="A37" s="91">
        <v>29</v>
      </c>
      <c r="B37" s="92" t="s">
        <v>478</v>
      </c>
      <c r="C37" s="93">
        <v>3211.18</v>
      </c>
      <c r="D37" s="93">
        <f t="shared" si="3"/>
        <v>1000</v>
      </c>
      <c r="E37" s="93">
        <v>1000</v>
      </c>
      <c r="F37" s="93">
        <f t="shared" si="4"/>
        <v>0</v>
      </c>
      <c r="G37" s="93">
        <f t="shared" si="5"/>
        <v>2211.18</v>
      </c>
      <c r="H37" s="88">
        <f t="shared" si="6"/>
        <v>-2211.18</v>
      </c>
      <c r="I37" s="106"/>
      <c r="K37" s="107"/>
      <c r="L37" s="107"/>
    </row>
    <row r="38" spans="1:12">
      <c r="A38" s="91">
        <v>30</v>
      </c>
      <c r="B38" s="92" t="s">
        <v>479</v>
      </c>
      <c r="C38" s="93">
        <v>1440</v>
      </c>
      <c r="D38" s="93">
        <f t="shared" si="3"/>
        <v>2200</v>
      </c>
      <c r="E38" s="93">
        <v>2200</v>
      </c>
      <c r="F38" s="93">
        <f t="shared" si="4"/>
        <v>0</v>
      </c>
      <c r="G38" s="93">
        <f t="shared" si="5"/>
        <v>-760</v>
      </c>
      <c r="H38" s="88">
        <f t="shared" si="6"/>
        <v>760</v>
      </c>
      <c r="I38" s="106"/>
      <c r="K38" s="107"/>
      <c r="L38" s="107"/>
    </row>
    <row r="39" spans="1:12">
      <c r="A39" s="91">
        <v>31</v>
      </c>
      <c r="B39" s="92" t="s">
        <v>480</v>
      </c>
      <c r="C39" s="93">
        <v>2160</v>
      </c>
      <c r="D39" s="93">
        <f t="shared" si="3"/>
        <v>427.4611</v>
      </c>
      <c r="E39" s="93">
        <v>427.4611</v>
      </c>
      <c r="F39" s="93">
        <f t="shared" si="4"/>
        <v>0</v>
      </c>
      <c r="G39" s="93">
        <f t="shared" si="5"/>
        <v>1732.5389</v>
      </c>
      <c r="H39" s="88">
        <f t="shared" si="6"/>
        <v>-1732.5389</v>
      </c>
      <c r="I39" s="106"/>
      <c r="K39" s="107"/>
      <c r="L39" s="107"/>
    </row>
    <row r="40" spans="1:12">
      <c r="A40" s="91">
        <v>32</v>
      </c>
      <c r="B40" s="92" t="s">
        <v>481</v>
      </c>
      <c r="C40" s="93">
        <v>1920</v>
      </c>
      <c r="D40" s="93">
        <f t="shared" si="3"/>
        <v>610.97513</v>
      </c>
      <c r="E40" s="93">
        <v>610.97513</v>
      </c>
      <c r="F40" s="93">
        <f t="shared" si="4"/>
        <v>0</v>
      </c>
      <c r="G40" s="93">
        <f t="shared" si="5"/>
        <v>1309.02487</v>
      </c>
      <c r="H40" s="88">
        <f t="shared" si="6"/>
        <v>-1309.02487</v>
      </c>
      <c r="I40" s="106"/>
      <c r="K40" s="107"/>
      <c r="L40" s="107"/>
    </row>
    <row r="41" spans="1:12">
      <c r="A41" s="91">
        <v>33</v>
      </c>
      <c r="B41" s="92" t="s">
        <v>482</v>
      </c>
      <c r="C41" s="93">
        <v>1440</v>
      </c>
      <c r="D41" s="93">
        <f t="shared" si="3"/>
        <v>489.5561</v>
      </c>
      <c r="E41" s="93">
        <v>489.5561</v>
      </c>
      <c r="F41" s="93">
        <f t="shared" si="4"/>
        <v>0</v>
      </c>
      <c r="G41" s="93">
        <f t="shared" si="5"/>
        <v>950.4439</v>
      </c>
      <c r="H41" s="88">
        <f t="shared" si="6"/>
        <v>-950.4439</v>
      </c>
      <c r="I41" s="106"/>
      <c r="K41" s="107"/>
      <c r="L41" s="107"/>
    </row>
    <row r="42" spans="1:12">
      <c r="A42" s="91">
        <v>34</v>
      </c>
      <c r="B42" s="92" t="s">
        <v>483</v>
      </c>
      <c r="C42" s="93">
        <v>2413.137064</v>
      </c>
      <c r="D42" s="93">
        <f t="shared" si="3"/>
        <v>187.820994</v>
      </c>
      <c r="E42" s="93">
        <v>187.820994</v>
      </c>
      <c r="F42" s="93">
        <f t="shared" si="4"/>
        <v>0</v>
      </c>
      <c r="G42" s="93">
        <f t="shared" si="5"/>
        <v>2225.31607</v>
      </c>
      <c r="H42" s="88">
        <f t="shared" si="6"/>
        <v>-2225.31607</v>
      </c>
      <c r="I42" s="106"/>
      <c r="K42" s="107"/>
      <c r="L42" s="107"/>
    </row>
    <row r="43" spans="1:12">
      <c r="A43" s="91">
        <v>35</v>
      </c>
      <c r="B43" s="92" t="s">
        <v>484</v>
      </c>
      <c r="C43" s="93">
        <v>3999.2</v>
      </c>
      <c r="D43" s="93">
        <f t="shared" si="3"/>
        <v>0</v>
      </c>
      <c r="E43" s="93">
        <v>0</v>
      </c>
      <c r="F43" s="93">
        <f t="shared" si="4"/>
        <v>0</v>
      </c>
      <c r="G43" s="93">
        <f t="shared" si="5"/>
        <v>3999.2</v>
      </c>
      <c r="H43" s="88">
        <f t="shared" si="6"/>
        <v>-3999.2</v>
      </c>
      <c r="I43" s="106"/>
      <c r="K43" s="107"/>
      <c r="L43" s="107"/>
    </row>
    <row r="44" spans="1:12">
      <c r="A44" s="91">
        <v>36</v>
      </c>
      <c r="B44" s="92" t="s">
        <v>485</v>
      </c>
      <c r="C44" s="93">
        <v>2000</v>
      </c>
      <c r="D44" s="93">
        <f t="shared" si="3"/>
        <v>2980</v>
      </c>
      <c r="E44" s="93">
        <v>2980</v>
      </c>
      <c r="F44" s="93">
        <f t="shared" si="4"/>
        <v>0</v>
      </c>
      <c r="G44" s="93">
        <f t="shared" si="5"/>
        <v>-980</v>
      </c>
      <c r="H44" s="88">
        <f t="shared" si="6"/>
        <v>980</v>
      </c>
      <c r="I44" s="106"/>
      <c r="K44" s="107"/>
      <c r="L44" s="107"/>
    </row>
    <row r="45" spans="1:12">
      <c r="A45" s="91">
        <v>37</v>
      </c>
      <c r="B45" s="92" t="s">
        <v>486</v>
      </c>
      <c r="C45" s="93">
        <v>1012.3851</v>
      </c>
      <c r="D45" s="93">
        <f t="shared" si="3"/>
        <v>552.0296</v>
      </c>
      <c r="E45" s="93">
        <v>552.0296</v>
      </c>
      <c r="F45" s="93">
        <f t="shared" si="4"/>
        <v>0</v>
      </c>
      <c r="G45" s="93">
        <f t="shared" si="5"/>
        <v>460.3555</v>
      </c>
      <c r="H45" s="88">
        <f t="shared" si="6"/>
        <v>-460.3555</v>
      </c>
      <c r="I45" s="106"/>
      <c r="K45" s="107"/>
      <c r="L45" s="107"/>
    </row>
    <row r="46" spans="1:9">
      <c r="A46" s="91">
        <v>38</v>
      </c>
      <c r="B46" s="92" t="s">
        <v>487</v>
      </c>
      <c r="C46" s="93">
        <v>2533.6</v>
      </c>
      <c r="D46" s="93">
        <f t="shared" si="3"/>
        <v>0</v>
      </c>
      <c r="E46" s="93">
        <v>0</v>
      </c>
      <c r="F46" s="93">
        <f t="shared" si="4"/>
        <v>0</v>
      </c>
      <c r="G46" s="93">
        <f t="shared" si="5"/>
        <v>2533.6</v>
      </c>
      <c r="H46" s="88">
        <f t="shared" si="6"/>
        <v>-2533.6</v>
      </c>
      <c r="I46" s="106"/>
    </row>
    <row r="47" spans="1:9">
      <c r="A47" s="91">
        <v>39</v>
      </c>
      <c r="B47" s="92" t="s">
        <v>488</v>
      </c>
      <c r="C47" s="93">
        <v>1402.168</v>
      </c>
      <c r="D47" s="93">
        <f t="shared" si="3"/>
        <v>700</v>
      </c>
      <c r="E47" s="93">
        <v>700</v>
      </c>
      <c r="F47" s="93">
        <f t="shared" si="4"/>
        <v>0</v>
      </c>
      <c r="G47" s="93">
        <f t="shared" si="5"/>
        <v>702.168</v>
      </c>
      <c r="H47" s="88">
        <f t="shared" si="6"/>
        <v>-702.168</v>
      </c>
      <c r="I47" s="106"/>
    </row>
    <row r="48" spans="1:9">
      <c r="A48" s="91">
        <v>40</v>
      </c>
      <c r="B48" s="92" t="s">
        <v>489</v>
      </c>
      <c r="C48" s="93">
        <v>1500</v>
      </c>
      <c r="D48" s="93">
        <f t="shared" si="3"/>
        <v>69.943839</v>
      </c>
      <c r="E48" s="93">
        <v>69.943839</v>
      </c>
      <c r="F48" s="93">
        <f t="shared" si="4"/>
        <v>0</v>
      </c>
      <c r="G48" s="93">
        <f t="shared" si="5"/>
        <v>1430.056161</v>
      </c>
      <c r="H48" s="88">
        <f t="shared" si="6"/>
        <v>-1430.056161</v>
      </c>
      <c r="I48" s="106"/>
    </row>
    <row r="49" spans="1:9">
      <c r="A49" s="91">
        <v>41</v>
      </c>
      <c r="B49" s="92" t="s">
        <v>490</v>
      </c>
      <c r="C49" s="93">
        <v>3232.912</v>
      </c>
      <c r="D49" s="93">
        <f t="shared" si="3"/>
        <v>0</v>
      </c>
      <c r="E49" s="93">
        <v>0</v>
      </c>
      <c r="F49" s="93">
        <f t="shared" si="4"/>
        <v>0</v>
      </c>
      <c r="G49" s="93">
        <f t="shared" si="5"/>
        <v>3232.912</v>
      </c>
      <c r="H49" s="88">
        <f t="shared" si="6"/>
        <v>-3232.912</v>
      </c>
      <c r="I49" s="106"/>
    </row>
    <row r="50" spans="1:9">
      <c r="A50" s="91">
        <v>42</v>
      </c>
      <c r="B50" s="92" t="s">
        <v>491</v>
      </c>
      <c r="C50" s="93">
        <v>2685.6236</v>
      </c>
      <c r="D50" s="93">
        <f t="shared" si="3"/>
        <v>469.43444</v>
      </c>
      <c r="E50" s="93">
        <v>469.43444</v>
      </c>
      <c r="F50" s="93">
        <f t="shared" si="4"/>
        <v>0</v>
      </c>
      <c r="G50" s="93">
        <f t="shared" si="5"/>
        <v>2216.18916</v>
      </c>
      <c r="H50" s="88">
        <f t="shared" si="6"/>
        <v>-2216.18916</v>
      </c>
      <c r="I50" s="106"/>
    </row>
    <row r="51" spans="1:9">
      <c r="A51" s="91">
        <v>43</v>
      </c>
      <c r="B51" s="92" t="s">
        <v>492</v>
      </c>
      <c r="C51" s="93">
        <v>1026</v>
      </c>
      <c r="D51" s="93">
        <f t="shared" si="3"/>
        <v>1053.2765</v>
      </c>
      <c r="E51" s="93">
        <v>1053.2765</v>
      </c>
      <c r="F51" s="93">
        <f t="shared" si="4"/>
        <v>0</v>
      </c>
      <c r="G51" s="93">
        <f t="shared" si="5"/>
        <v>-27.2764999999999</v>
      </c>
      <c r="H51" s="88">
        <f t="shared" si="6"/>
        <v>27.2764999999999</v>
      </c>
      <c r="I51" s="106"/>
    </row>
    <row r="52" spans="1:9">
      <c r="A52" s="91">
        <v>44</v>
      </c>
      <c r="B52" s="92" t="s">
        <v>493</v>
      </c>
      <c r="C52" s="93">
        <v>2160</v>
      </c>
      <c r="D52" s="93">
        <f t="shared" si="3"/>
        <v>0</v>
      </c>
      <c r="E52" s="93">
        <v>0</v>
      </c>
      <c r="F52" s="93">
        <f t="shared" si="4"/>
        <v>0</v>
      </c>
      <c r="G52" s="93">
        <f t="shared" si="5"/>
        <v>2160</v>
      </c>
      <c r="H52" s="88">
        <f t="shared" si="6"/>
        <v>-2160</v>
      </c>
      <c r="I52" s="106"/>
    </row>
    <row r="53" spans="1:9">
      <c r="A53" s="91">
        <v>45</v>
      </c>
      <c r="B53" s="92" t="s">
        <v>494</v>
      </c>
      <c r="C53" s="93">
        <v>4000</v>
      </c>
      <c r="D53" s="93">
        <f t="shared" si="3"/>
        <v>84.46</v>
      </c>
      <c r="E53" s="93">
        <v>84.46</v>
      </c>
      <c r="F53" s="93">
        <f t="shared" si="4"/>
        <v>0</v>
      </c>
      <c r="G53" s="93">
        <f t="shared" si="5"/>
        <v>3915.54</v>
      </c>
      <c r="H53" s="88">
        <f t="shared" si="6"/>
        <v>-3915.54</v>
      </c>
      <c r="I53" s="106"/>
    </row>
    <row r="54" spans="1:9">
      <c r="A54" s="91">
        <v>46</v>
      </c>
      <c r="B54" s="92" t="s">
        <v>495</v>
      </c>
      <c r="C54" s="93">
        <f>45000+171215.79+20722-2236-67+43900</f>
        <v>278534.79</v>
      </c>
      <c r="D54" s="93">
        <f t="shared" si="3"/>
        <v>0</v>
      </c>
      <c r="E54" s="93">
        <v>0</v>
      </c>
      <c r="F54" s="93">
        <f t="shared" si="4"/>
        <v>0</v>
      </c>
      <c r="G54" s="93">
        <f t="shared" si="5"/>
        <v>278534.79</v>
      </c>
      <c r="H54" s="88">
        <f t="shared" si="6"/>
        <v>-278534.79</v>
      </c>
      <c r="I54" s="106"/>
    </row>
    <row r="55" hidden="true" spans="1:9">
      <c r="A55" s="91"/>
      <c r="B55" s="92"/>
      <c r="C55" s="93"/>
      <c r="D55" s="93"/>
      <c r="E55" s="93"/>
      <c r="F55" s="93"/>
      <c r="G55" s="93"/>
      <c r="H55" s="88"/>
      <c r="I55" s="106"/>
    </row>
    <row r="56" hidden="true" spans="1:9">
      <c r="A56" s="91"/>
      <c r="B56" s="92"/>
      <c r="C56" s="93"/>
      <c r="D56" s="93"/>
      <c r="E56" s="93"/>
      <c r="F56" s="93"/>
      <c r="G56" s="93"/>
      <c r="H56" s="88"/>
      <c r="I56" s="106"/>
    </row>
    <row r="57" hidden="true" spans="1:9">
      <c r="A57" s="91"/>
      <c r="B57" s="92"/>
      <c r="C57" s="93"/>
      <c r="D57" s="93"/>
      <c r="E57" s="93"/>
      <c r="F57" s="93"/>
      <c r="G57" s="93"/>
      <c r="H57" s="88"/>
      <c r="I57" s="106"/>
    </row>
    <row r="58" hidden="true" spans="1:9">
      <c r="A58" s="91"/>
      <c r="B58" s="92"/>
      <c r="C58" s="93"/>
      <c r="D58" s="93"/>
      <c r="E58" s="93"/>
      <c r="F58" s="93"/>
      <c r="G58" s="93"/>
      <c r="H58" s="88"/>
      <c r="I58" s="106"/>
    </row>
    <row r="59" hidden="true" spans="1:9">
      <c r="A59" s="91"/>
      <c r="B59" s="92"/>
      <c r="C59" s="93"/>
      <c r="D59" s="93"/>
      <c r="E59" s="93"/>
      <c r="F59" s="93"/>
      <c r="G59" s="93"/>
      <c r="H59" s="88"/>
      <c r="I59" s="106"/>
    </row>
    <row r="60" hidden="true" spans="1:9">
      <c r="A60" s="91"/>
      <c r="B60" s="92"/>
      <c r="C60" s="93"/>
      <c r="D60" s="93"/>
      <c r="E60" s="93"/>
      <c r="F60" s="93"/>
      <c r="G60" s="93"/>
      <c r="H60" s="88"/>
      <c r="I60" s="106"/>
    </row>
    <row r="61" hidden="true" spans="1:9">
      <c r="A61" s="91"/>
      <c r="B61" s="92"/>
      <c r="C61" s="93"/>
      <c r="D61" s="93"/>
      <c r="E61" s="93"/>
      <c r="F61" s="93"/>
      <c r="G61" s="93"/>
      <c r="H61" s="88"/>
      <c r="I61" s="106"/>
    </row>
    <row r="62" hidden="true" spans="1:9">
      <c r="A62" s="91"/>
      <c r="B62" s="92"/>
      <c r="C62" s="93"/>
      <c r="D62" s="93"/>
      <c r="E62" s="93"/>
      <c r="F62" s="93"/>
      <c r="G62" s="93"/>
      <c r="H62" s="88"/>
      <c r="I62" s="106"/>
    </row>
    <row r="63" hidden="true" spans="1:9">
      <c r="A63" s="91"/>
      <c r="B63" s="92"/>
      <c r="C63" s="93"/>
      <c r="D63" s="93"/>
      <c r="E63" s="93"/>
      <c r="F63" s="93"/>
      <c r="G63" s="93"/>
      <c r="H63" s="88"/>
      <c r="I63" s="106"/>
    </row>
    <row r="64" hidden="true" spans="1:9">
      <c r="A64" s="91"/>
      <c r="B64" s="92"/>
      <c r="C64" s="93"/>
      <c r="D64" s="93"/>
      <c r="E64" s="93"/>
      <c r="F64" s="93"/>
      <c r="G64" s="93"/>
      <c r="H64" s="88"/>
      <c r="I64" s="106"/>
    </row>
    <row r="65" hidden="true" spans="1:9">
      <c r="A65" s="91"/>
      <c r="B65" s="92"/>
      <c r="C65" s="93"/>
      <c r="D65" s="93"/>
      <c r="E65" s="93"/>
      <c r="F65" s="93"/>
      <c r="G65" s="93"/>
      <c r="H65" s="88"/>
      <c r="I65" s="106"/>
    </row>
    <row r="66" hidden="true" spans="1:9">
      <c r="A66" s="91"/>
      <c r="B66" s="92"/>
      <c r="C66" s="93"/>
      <c r="D66" s="93"/>
      <c r="E66" s="93"/>
      <c r="F66" s="93"/>
      <c r="G66" s="93"/>
      <c r="H66" s="88"/>
      <c r="I66" s="106"/>
    </row>
    <row r="67" hidden="true" spans="1:9">
      <c r="A67" s="91"/>
      <c r="B67" s="92"/>
      <c r="C67" s="93"/>
      <c r="D67" s="93"/>
      <c r="E67" s="93"/>
      <c r="F67" s="93"/>
      <c r="G67" s="93"/>
      <c r="H67" s="88"/>
      <c r="I67" s="106"/>
    </row>
    <row r="68" hidden="true" spans="1:9">
      <c r="A68" s="91"/>
      <c r="B68" s="92"/>
      <c r="C68" s="93"/>
      <c r="D68" s="93"/>
      <c r="E68" s="93"/>
      <c r="F68" s="93"/>
      <c r="G68" s="93"/>
      <c r="H68" s="88"/>
      <c r="I68" s="106"/>
    </row>
    <row r="69" hidden="true" spans="1:9">
      <c r="A69" s="91"/>
      <c r="B69" s="92"/>
      <c r="C69" s="93"/>
      <c r="D69" s="93"/>
      <c r="E69" s="93"/>
      <c r="F69" s="93"/>
      <c r="G69" s="93"/>
      <c r="H69" s="88"/>
      <c r="I69" s="106"/>
    </row>
    <row r="70" hidden="true" spans="1:9">
      <c r="A70" s="91"/>
      <c r="B70" s="92"/>
      <c r="C70" s="93"/>
      <c r="D70" s="93"/>
      <c r="E70" s="93"/>
      <c r="F70" s="93"/>
      <c r="G70" s="93"/>
      <c r="H70" s="88"/>
      <c r="I70" s="106"/>
    </row>
    <row r="71" hidden="true" spans="1:9">
      <c r="A71" s="91"/>
      <c r="B71" s="92"/>
      <c r="C71" s="93"/>
      <c r="D71" s="93"/>
      <c r="E71" s="93"/>
      <c r="F71" s="93"/>
      <c r="G71" s="93"/>
      <c r="H71" s="88"/>
      <c r="I71" s="106"/>
    </row>
    <row r="72" hidden="true" spans="1:9">
      <c r="A72" s="91"/>
      <c r="B72" s="92"/>
      <c r="C72" s="93"/>
      <c r="D72" s="93"/>
      <c r="E72" s="93"/>
      <c r="F72" s="93"/>
      <c r="G72" s="93"/>
      <c r="H72" s="88"/>
      <c r="I72" s="106"/>
    </row>
    <row r="73" hidden="true" spans="1:9">
      <c r="A73" s="91"/>
      <c r="B73" s="92"/>
      <c r="C73" s="93"/>
      <c r="D73" s="93"/>
      <c r="E73" s="93"/>
      <c r="F73" s="93"/>
      <c r="G73" s="93"/>
      <c r="H73" s="88"/>
      <c r="I73" s="106"/>
    </row>
    <row r="74" hidden="true" spans="1:9">
      <c r="A74" s="91"/>
      <c r="B74" s="92"/>
      <c r="C74" s="93"/>
      <c r="D74" s="93"/>
      <c r="E74" s="93"/>
      <c r="F74" s="93"/>
      <c r="G74" s="93"/>
      <c r="H74" s="88"/>
      <c r="I74" s="106"/>
    </row>
    <row r="75" hidden="true" spans="1:9">
      <c r="A75" s="91"/>
      <c r="B75" s="92"/>
      <c r="C75" s="93"/>
      <c r="D75" s="93"/>
      <c r="E75" s="93"/>
      <c r="F75" s="93"/>
      <c r="G75" s="93"/>
      <c r="H75" s="88"/>
      <c r="I75" s="106"/>
    </row>
    <row r="76" hidden="true" spans="1:9">
      <c r="A76" s="91"/>
      <c r="B76" s="92"/>
      <c r="C76" s="93"/>
      <c r="D76" s="93"/>
      <c r="E76" s="93"/>
      <c r="F76" s="93"/>
      <c r="G76" s="93"/>
      <c r="H76" s="88"/>
      <c r="I76" s="106"/>
    </row>
    <row r="77" hidden="true" spans="1:9">
      <c r="A77" s="91"/>
      <c r="B77" s="92"/>
      <c r="C77" s="93"/>
      <c r="D77" s="93"/>
      <c r="E77" s="93"/>
      <c r="F77" s="93"/>
      <c r="G77" s="93"/>
      <c r="H77" s="88"/>
      <c r="I77" s="106"/>
    </row>
    <row r="78" hidden="true" spans="1:9">
      <c r="A78" s="91"/>
      <c r="B78" s="92"/>
      <c r="C78" s="93"/>
      <c r="D78" s="93"/>
      <c r="E78" s="93"/>
      <c r="F78" s="93"/>
      <c r="G78" s="93"/>
      <c r="H78" s="88"/>
      <c r="I78" s="106"/>
    </row>
    <row r="79" hidden="true" spans="1:9">
      <c r="A79" s="91"/>
      <c r="B79" s="92"/>
      <c r="C79" s="93"/>
      <c r="D79" s="93"/>
      <c r="E79" s="93"/>
      <c r="F79" s="93"/>
      <c r="G79" s="93"/>
      <c r="H79" s="88"/>
      <c r="I79" s="106"/>
    </row>
    <row r="80" hidden="true" spans="1:9">
      <c r="A80" s="91"/>
      <c r="B80" s="92"/>
      <c r="C80" s="93"/>
      <c r="D80" s="93"/>
      <c r="E80" s="93"/>
      <c r="F80" s="93"/>
      <c r="G80" s="93"/>
      <c r="H80" s="88"/>
      <c r="I80" s="106"/>
    </row>
    <row r="81" hidden="true" spans="1:9">
      <c r="A81" s="91"/>
      <c r="B81" s="92"/>
      <c r="C81" s="93"/>
      <c r="D81" s="93"/>
      <c r="E81" s="93"/>
      <c r="F81" s="93"/>
      <c r="G81" s="93"/>
      <c r="H81" s="88"/>
      <c r="I81" s="106"/>
    </row>
    <row r="82" hidden="true" spans="1:9">
      <c r="A82" s="91"/>
      <c r="B82" s="92"/>
      <c r="C82" s="93"/>
      <c r="D82" s="93"/>
      <c r="E82" s="93"/>
      <c r="F82" s="93"/>
      <c r="G82" s="93"/>
      <c r="H82" s="88"/>
      <c r="I82" s="106"/>
    </row>
    <row r="83" hidden="true" spans="1:9">
      <c r="A83" s="91"/>
      <c r="B83" s="92"/>
      <c r="C83" s="93"/>
      <c r="D83" s="93"/>
      <c r="E83" s="93"/>
      <c r="F83" s="93"/>
      <c r="G83" s="93"/>
      <c r="H83" s="88"/>
      <c r="I83" s="106"/>
    </row>
    <row r="84" hidden="true" spans="1:9">
      <c r="A84" s="91"/>
      <c r="B84" s="92"/>
      <c r="C84" s="93"/>
      <c r="D84" s="93"/>
      <c r="E84" s="93"/>
      <c r="F84" s="93"/>
      <c r="G84" s="93"/>
      <c r="H84" s="88"/>
      <c r="I84" s="106"/>
    </row>
    <row r="85" hidden="true" spans="1:9">
      <c r="A85" s="91"/>
      <c r="B85" s="92"/>
      <c r="C85" s="93"/>
      <c r="D85" s="93"/>
      <c r="E85" s="93"/>
      <c r="F85" s="93"/>
      <c r="G85" s="93"/>
      <c r="H85" s="88"/>
      <c r="I85" s="106"/>
    </row>
    <row r="86" hidden="true" spans="1:9">
      <c r="A86" s="91"/>
      <c r="B86" s="92"/>
      <c r="C86" s="93"/>
      <c r="D86" s="93"/>
      <c r="E86" s="93"/>
      <c r="F86" s="93"/>
      <c r="G86" s="93"/>
      <c r="H86" s="88"/>
      <c r="I86" s="106"/>
    </row>
    <row r="87" hidden="true" spans="1:9">
      <c r="A87" s="91"/>
      <c r="B87" s="92"/>
      <c r="C87" s="93"/>
      <c r="D87" s="93"/>
      <c r="E87" s="93"/>
      <c r="F87" s="93"/>
      <c r="G87" s="93"/>
      <c r="H87" s="88"/>
      <c r="I87" s="106"/>
    </row>
    <row r="88" hidden="true" spans="1:9">
      <c r="A88" s="91"/>
      <c r="B88" s="92"/>
      <c r="C88" s="93"/>
      <c r="D88" s="93"/>
      <c r="E88" s="93"/>
      <c r="F88" s="93"/>
      <c r="G88" s="93"/>
      <c r="H88" s="88"/>
      <c r="I88" s="106"/>
    </row>
    <row r="89" hidden="true" spans="1:9">
      <c r="A89" s="91"/>
      <c r="B89" s="92"/>
      <c r="C89" s="93"/>
      <c r="D89" s="93"/>
      <c r="E89" s="93"/>
      <c r="F89" s="93"/>
      <c r="G89" s="93"/>
      <c r="H89" s="88"/>
      <c r="I89" s="106"/>
    </row>
    <row r="90" hidden="true" spans="1:9">
      <c r="A90" s="91"/>
      <c r="B90" s="92"/>
      <c r="C90" s="93"/>
      <c r="D90" s="93"/>
      <c r="E90" s="93"/>
      <c r="F90" s="93"/>
      <c r="G90" s="93"/>
      <c r="H90" s="88"/>
      <c r="I90" s="106"/>
    </row>
    <row r="91" hidden="true" spans="1:9">
      <c r="A91" s="91"/>
      <c r="B91" s="92"/>
      <c r="C91" s="93"/>
      <c r="D91" s="93"/>
      <c r="E91" s="93"/>
      <c r="F91" s="93"/>
      <c r="G91" s="93"/>
      <c r="H91" s="88"/>
      <c r="I91" s="106"/>
    </row>
    <row r="92" hidden="true" spans="1:9">
      <c r="A92" s="91"/>
      <c r="B92" s="92"/>
      <c r="C92" s="93"/>
      <c r="D92" s="93"/>
      <c r="E92" s="93"/>
      <c r="F92" s="93"/>
      <c r="G92" s="93"/>
      <c r="H92" s="88"/>
      <c r="I92" s="106"/>
    </row>
    <row r="93" hidden="true" spans="1:9">
      <c r="A93" s="91"/>
      <c r="B93" s="92"/>
      <c r="C93" s="93"/>
      <c r="D93" s="93"/>
      <c r="E93" s="93"/>
      <c r="F93" s="93"/>
      <c r="G93" s="93"/>
      <c r="H93" s="88"/>
      <c r="I93" s="106"/>
    </row>
    <row r="94" hidden="true" spans="1:9">
      <c r="A94" s="91"/>
      <c r="B94" s="92"/>
      <c r="C94" s="93"/>
      <c r="D94" s="93"/>
      <c r="E94" s="93"/>
      <c r="F94" s="93"/>
      <c r="G94" s="93"/>
      <c r="H94" s="88"/>
      <c r="I94" s="106"/>
    </row>
    <row r="95" hidden="true" spans="1:9">
      <c r="A95" s="91"/>
      <c r="B95" s="92"/>
      <c r="C95" s="93"/>
      <c r="D95" s="93"/>
      <c r="E95" s="93"/>
      <c r="F95" s="93"/>
      <c r="G95" s="93"/>
      <c r="H95" s="88"/>
      <c r="I95" s="106"/>
    </row>
    <row r="96" hidden="true" spans="1:9">
      <c r="A96" s="91"/>
      <c r="B96" s="92"/>
      <c r="C96" s="93"/>
      <c r="D96" s="93"/>
      <c r="E96" s="93"/>
      <c r="F96" s="93"/>
      <c r="G96" s="93"/>
      <c r="H96" s="88"/>
      <c r="I96" s="106"/>
    </row>
    <row r="97" hidden="true" spans="1:9">
      <c r="A97" s="91"/>
      <c r="B97" s="92"/>
      <c r="C97" s="93"/>
      <c r="D97" s="93"/>
      <c r="E97" s="93"/>
      <c r="F97" s="93"/>
      <c r="G97" s="93"/>
      <c r="H97" s="88"/>
      <c r="I97" s="106"/>
    </row>
    <row r="98" hidden="true" spans="1:9">
      <c r="A98" s="91"/>
      <c r="B98" s="92"/>
      <c r="C98" s="93"/>
      <c r="D98" s="93"/>
      <c r="E98" s="93"/>
      <c r="F98" s="93"/>
      <c r="G98" s="93"/>
      <c r="H98" s="88"/>
      <c r="I98" s="106"/>
    </row>
    <row r="99" hidden="true" spans="1:9">
      <c r="A99" s="91"/>
      <c r="B99" s="92"/>
      <c r="C99" s="93"/>
      <c r="D99" s="93"/>
      <c r="E99" s="93"/>
      <c r="F99" s="93"/>
      <c r="G99" s="93"/>
      <c r="H99" s="88"/>
      <c r="I99" s="106"/>
    </row>
    <row r="100" hidden="true" spans="1:9">
      <c r="A100" s="91"/>
      <c r="B100" s="92"/>
      <c r="C100" s="93"/>
      <c r="D100" s="93"/>
      <c r="E100" s="93"/>
      <c r="F100" s="93"/>
      <c r="G100" s="93"/>
      <c r="H100" s="88"/>
      <c r="I100" s="106"/>
    </row>
    <row r="101" hidden="true" spans="1:9">
      <c r="A101" s="91"/>
      <c r="B101" s="92"/>
      <c r="C101" s="93"/>
      <c r="D101" s="93"/>
      <c r="E101" s="93"/>
      <c r="F101" s="93"/>
      <c r="G101" s="93"/>
      <c r="H101" s="88"/>
      <c r="I101" s="106"/>
    </row>
    <row r="102" hidden="true" spans="1:9">
      <c r="A102" s="91"/>
      <c r="B102" s="92"/>
      <c r="C102" s="93"/>
      <c r="D102" s="93"/>
      <c r="E102" s="93"/>
      <c r="F102" s="93"/>
      <c r="G102" s="93"/>
      <c r="H102" s="88"/>
      <c r="I102" s="106"/>
    </row>
    <row r="103" hidden="true" spans="1:9">
      <c r="A103" s="91"/>
      <c r="B103" s="92"/>
      <c r="C103" s="93"/>
      <c r="D103" s="93"/>
      <c r="E103" s="93"/>
      <c r="F103" s="93"/>
      <c r="G103" s="93"/>
      <c r="H103" s="88"/>
      <c r="I103" s="106"/>
    </row>
    <row r="104" hidden="true" spans="1:9">
      <c r="A104" s="91"/>
      <c r="B104" s="92"/>
      <c r="C104" s="93"/>
      <c r="D104" s="93"/>
      <c r="E104" s="93"/>
      <c r="F104" s="93"/>
      <c r="G104" s="93"/>
      <c r="H104" s="88"/>
      <c r="I104" s="106"/>
    </row>
    <row r="105" hidden="true" spans="1:9">
      <c r="A105" s="91"/>
      <c r="B105" s="92"/>
      <c r="C105" s="93"/>
      <c r="D105" s="93"/>
      <c r="E105" s="93"/>
      <c r="F105" s="93"/>
      <c r="G105" s="93"/>
      <c r="H105" s="88"/>
      <c r="I105" s="106"/>
    </row>
    <row r="106" hidden="true" spans="1:9">
      <c r="A106" s="91"/>
      <c r="B106" s="92"/>
      <c r="C106" s="93"/>
      <c r="D106" s="93"/>
      <c r="E106" s="93"/>
      <c r="F106" s="93"/>
      <c r="G106" s="93"/>
      <c r="H106" s="88"/>
      <c r="I106" s="106"/>
    </row>
    <row r="107" hidden="true" spans="1:9">
      <c r="A107" s="91"/>
      <c r="B107" s="92"/>
      <c r="C107" s="93"/>
      <c r="D107" s="93"/>
      <c r="E107" s="93"/>
      <c r="F107" s="93"/>
      <c r="G107" s="93"/>
      <c r="H107" s="88"/>
      <c r="I107" s="106"/>
    </row>
    <row r="108" hidden="true" spans="1:9">
      <c r="A108" s="91"/>
      <c r="B108" s="92"/>
      <c r="C108" s="93"/>
      <c r="D108" s="93"/>
      <c r="E108" s="93"/>
      <c r="F108" s="93"/>
      <c r="G108" s="93"/>
      <c r="H108" s="88"/>
      <c r="I108" s="106"/>
    </row>
    <row r="109" hidden="true" spans="1:9">
      <c r="A109" s="91"/>
      <c r="B109" s="92"/>
      <c r="C109" s="93"/>
      <c r="D109" s="93"/>
      <c r="E109" s="93"/>
      <c r="F109" s="93"/>
      <c r="G109" s="93"/>
      <c r="H109" s="88"/>
      <c r="I109" s="106"/>
    </row>
    <row r="110" hidden="true" spans="1:9">
      <c r="A110" s="91"/>
      <c r="B110" s="92"/>
      <c r="C110" s="93"/>
      <c r="D110" s="93"/>
      <c r="E110" s="93"/>
      <c r="F110" s="93"/>
      <c r="G110" s="93"/>
      <c r="H110" s="88"/>
      <c r="I110" s="106"/>
    </row>
    <row r="111" hidden="true" spans="1:9">
      <c r="A111" s="91"/>
      <c r="B111" s="92"/>
      <c r="C111" s="93"/>
      <c r="D111" s="93"/>
      <c r="E111" s="93"/>
      <c r="F111" s="93"/>
      <c r="G111" s="93"/>
      <c r="H111" s="88"/>
      <c r="I111" s="106"/>
    </row>
    <row r="112" hidden="true" spans="1:9">
      <c r="A112" s="91"/>
      <c r="B112" s="92"/>
      <c r="C112" s="93"/>
      <c r="D112" s="93"/>
      <c r="E112" s="93"/>
      <c r="F112" s="93"/>
      <c r="G112" s="93"/>
      <c r="H112" s="88"/>
      <c r="I112" s="106"/>
    </row>
    <row r="113" hidden="true" spans="1:9">
      <c r="A113" s="91"/>
      <c r="B113" s="92"/>
      <c r="C113" s="93"/>
      <c r="D113" s="93"/>
      <c r="E113" s="93"/>
      <c r="F113" s="93"/>
      <c r="G113" s="93"/>
      <c r="H113" s="88"/>
      <c r="I113" s="106"/>
    </row>
    <row r="114" hidden="true" spans="1:9">
      <c r="A114" s="91"/>
      <c r="B114" s="92"/>
      <c r="C114" s="93"/>
      <c r="D114" s="93"/>
      <c r="E114" s="93"/>
      <c r="F114" s="93"/>
      <c r="G114" s="93"/>
      <c r="H114" s="88"/>
      <c r="I114" s="106"/>
    </row>
    <row r="115" hidden="true" spans="1:9">
      <c r="A115" s="91"/>
      <c r="B115" s="92"/>
      <c r="C115" s="93"/>
      <c r="D115" s="93"/>
      <c r="E115" s="93"/>
      <c r="F115" s="93"/>
      <c r="G115" s="93"/>
      <c r="H115" s="88"/>
      <c r="I115" s="106"/>
    </row>
    <row r="116" hidden="true" spans="1:9">
      <c r="A116" s="91"/>
      <c r="B116" s="92"/>
      <c r="C116" s="93"/>
      <c r="D116" s="93"/>
      <c r="E116" s="93"/>
      <c r="F116" s="93"/>
      <c r="G116" s="93"/>
      <c r="H116" s="88"/>
      <c r="I116" s="106"/>
    </row>
    <row r="117" hidden="true" spans="1:9">
      <c r="A117" s="91"/>
      <c r="B117" s="92"/>
      <c r="C117" s="93"/>
      <c r="D117" s="93"/>
      <c r="E117" s="93"/>
      <c r="F117" s="93"/>
      <c r="G117" s="93"/>
      <c r="H117" s="88"/>
      <c r="I117" s="106"/>
    </row>
    <row r="118" hidden="true" spans="1:9">
      <c r="A118" s="91"/>
      <c r="B118" s="92"/>
      <c r="C118" s="93"/>
      <c r="D118" s="93"/>
      <c r="E118" s="93"/>
      <c r="F118" s="93"/>
      <c r="G118" s="93"/>
      <c r="H118" s="88"/>
      <c r="I118" s="106"/>
    </row>
    <row r="119" hidden="true" spans="1:9">
      <c r="A119" s="91"/>
      <c r="B119" s="92"/>
      <c r="C119" s="93"/>
      <c r="D119" s="93"/>
      <c r="E119" s="93"/>
      <c r="F119" s="93"/>
      <c r="G119" s="93"/>
      <c r="H119" s="88"/>
      <c r="I119" s="106"/>
    </row>
    <row r="120" hidden="true" spans="1:9">
      <c r="A120" s="91"/>
      <c r="B120" s="92"/>
      <c r="C120" s="93"/>
      <c r="D120" s="93"/>
      <c r="E120" s="93"/>
      <c r="F120" s="93"/>
      <c r="G120" s="93"/>
      <c r="H120" s="88"/>
      <c r="I120" s="106"/>
    </row>
    <row r="121" hidden="true" spans="1:9">
      <c r="A121" s="91"/>
      <c r="B121" s="92"/>
      <c r="C121" s="93"/>
      <c r="D121" s="93"/>
      <c r="E121" s="93"/>
      <c r="F121" s="93"/>
      <c r="G121" s="93"/>
      <c r="H121" s="88"/>
      <c r="I121" s="106"/>
    </row>
    <row r="122" s="68" customFormat="true" spans="1:9">
      <c r="A122" s="87"/>
      <c r="B122" s="90" t="s">
        <v>362</v>
      </c>
      <c r="C122" s="88">
        <f>SUM(C123:C155)</f>
        <v>58722</v>
      </c>
      <c r="D122" s="88">
        <f t="shared" ref="C122:H122" si="7">SUM(D123:D155)</f>
        <v>32722</v>
      </c>
      <c r="E122" s="88">
        <f t="shared" si="7"/>
        <v>18700</v>
      </c>
      <c r="F122" s="88">
        <f t="shared" si="7"/>
        <v>14022</v>
      </c>
      <c r="G122" s="88">
        <f t="shared" si="7"/>
        <v>26000</v>
      </c>
      <c r="H122" s="88">
        <f t="shared" si="7"/>
        <v>-26000</v>
      </c>
      <c r="I122" s="103"/>
    </row>
    <row r="123" s="68" customFormat="true" spans="1:9">
      <c r="A123" s="91">
        <v>1</v>
      </c>
      <c r="B123" s="92" t="s">
        <v>496</v>
      </c>
      <c r="C123" s="109">
        <v>2229</v>
      </c>
      <c r="D123" s="109">
        <f>E123+F123</f>
        <v>165</v>
      </c>
      <c r="E123" s="109">
        <v>165</v>
      </c>
      <c r="F123" s="109">
        <v>0</v>
      </c>
      <c r="G123" s="93">
        <f>C123-D123</f>
        <v>2064</v>
      </c>
      <c r="H123" s="88">
        <f>-G123</f>
        <v>-2064</v>
      </c>
      <c r="I123" s="110"/>
    </row>
    <row r="124" s="68" customFormat="true" spans="1:9">
      <c r="A124" s="91">
        <v>2</v>
      </c>
      <c r="B124" s="92" t="s">
        <v>497</v>
      </c>
      <c r="C124" s="109">
        <v>587</v>
      </c>
      <c r="D124" s="109">
        <f t="shared" ref="D124:D136" si="8">E124+F124</f>
        <v>87</v>
      </c>
      <c r="E124" s="109">
        <v>87</v>
      </c>
      <c r="F124" s="109"/>
      <c r="G124" s="93">
        <f t="shared" ref="G124:G136" si="9">C124-D124</f>
        <v>500</v>
      </c>
      <c r="H124" s="88">
        <f t="shared" ref="H124:H136" si="10">-G124</f>
        <v>-500</v>
      </c>
      <c r="I124" s="110"/>
    </row>
    <row r="125" s="68" customFormat="true" spans="1:9">
      <c r="A125" s="91">
        <v>3</v>
      </c>
      <c r="B125" s="92" t="s">
        <v>498</v>
      </c>
      <c r="C125" s="109">
        <v>15000</v>
      </c>
      <c r="D125" s="109">
        <f t="shared" si="8"/>
        <v>9875</v>
      </c>
      <c r="E125" s="109">
        <v>9875</v>
      </c>
      <c r="F125" s="109">
        <v>0</v>
      </c>
      <c r="G125" s="93">
        <f t="shared" si="9"/>
        <v>5125</v>
      </c>
      <c r="H125" s="88">
        <f t="shared" si="10"/>
        <v>-5125</v>
      </c>
      <c r="I125" s="110"/>
    </row>
    <row r="126" s="68" customFormat="true" spans="1:9">
      <c r="A126" s="91">
        <v>4</v>
      </c>
      <c r="B126" s="92" t="s">
        <v>499</v>
      </c>
      <c r="C126" s="109">
        <v>580</v>
      </c>
      <c r="D126" s="109">
        <f t="shared" si="8"/>
        <v>0</v>
      </c>
      <c r="E126" s="109">
        <v>0</v>
      </c>
      <c r="F126" s="109">
        <v>0</v>
      </c>
      <c r="G126" s="93">
        <f t="shared" si="9"/>
        <v>580</v>
      </c>
      <c r="H126" s="88">
        <f t="shared" si="10"/>
        <v>-580</v>
      </c>
      <c r="I126" s="110"/>
    </row>
    <row r="127" s="68" customFormat="true" spans="1:9">
      <c r="A127" s="91">
        <v>5</v>
      </c>
      <c r="B127" s="92" t="s">
        <v>500</v>
      </c>
      <c r="C127" s="109">
        <v>8000</v>
      </c>
      <c r="D127" s="109">
        <f t="shared" si="8"/>
        <v>5126</v>
      </c>
      <c r="E127" s="109">
        <v>5126</v>
      </c>
      <c r="F127" s="109"/>
      <c r="G127" s="93">
        <f t="shared" si="9"/>
        <v>2874</v>
      </c>
      <c r="H127" s="88">
        <f t="shared" si="10"/>
        <v>-2874</v>
      </c>
      <c r="I127" s="110"/>
    </row>
    <row r="128" s="68" customFormat="true" spans="1:9">
      <c r="A128" s="91">
        <v>6</v>
      </c>
      <c r="B128" s="92" t="s">
        <v>501</v>
      </c>
      <c r="C128" s="109">
        <v>2260</v>
      </c>
      <c r="D128" s="109">
        <f t="shared" si="8"/>
        <v>857</v>
      </c>
      <c r="E128" s="109">
        <v>857</v>
      </c>
      <c r="F128" s="109"/>
      <c r="G128" s="93">
        <f t="shared" si="9"/>
        <v>1403</v>
      </c>
      <c r="H128" s="88">
        <f t="shared" si="10"/>
        <v>-1403</v>
      </c>
      <c r="I128" s="110"/>
    </row>
    <row r="129" s="68" customFormat="true" spans="1:9">
      <c r="A129" s="91">
        <v>7</v>
      </c>
      <c r="B129" s="92" t="s">
        <v>502</v>
      </c>
      <c r="C129" s="109">
        <v>2050</v>
      </c>
      <c r="D129" s="109">
        <f t="shared" si="8"/>
        <v>0</v>
      </c>
      <c r="E129" s="109"/>
      <c r="F129" s="109">
        <v>0</v>
      </c>
      <c r="G129" s="93">
        <f t="shared" si="9"/>
        <v>2050</v>
      </c>
      <c r="H129" s="88">
        <f t="shared" si="10"/>
        <v>-2050</v>
      </c>
      <c r="I129" s="110"/>
    </row>
    <row r="130" s="68" customFormat="true" spans="1:9">
      <c r="A130" s="91">
        <v>8</v>
      </c>
      <c r="B130" s="92" t="s">
        <v>503</v>
      </c>
      <c r="C130" s="109">
        <v>1895</v>
      </c>
      <c r="D130" s="109">
        <f t="shared" si="8"/>
        <v>0</v>
      </c>
      <c r="E130" s="109"/>
      <c r="F130" s="109"/>
      <c r="G130" s="93">
        <f t="shared" si="9"/>
        <v>1895</v>
      </c>
      <c r="H130" s="88">
        <f t="shared" si="10"/>
        <v>-1895</v>
      </c>
      <c r="I130" s="110"/>
    </row>
    <row r="131" s="68" customFormat="true" spans="1:9">
      <c r="A131" s="91">
        <v>9</v>
      </c>
      <c r="B131" s="92" t="s">
        <v>504</v>
      </c>
      <c r="C131" s="109">
        <v>2931</v>
      </c>
      <c r="D131" s="109">
        <f t="shared" si="8"/>
        <v>1465</v>
      </c>
      <c r="E131" s="109">
        <v>1465</v>
      </c>
      <c r="F131" s="109"/>
      <c r="G131" s="93">
        <f t="shared" si="9"/>
        <v>1466</v>
      </c>
      <c r="H131" s="88">
        <f t="shared" si="10"/>
        <v>-1466</v>
      </c>
      <c r="I131" s="110"/>
    </row>
    <row r="132" s="68" customFormat="true" spans="1:9">
      <c r="A132" s="91">
        <v>10</v>
      </c>
      <c r="B132" s="92" t="s">
        <v>505</v>
      </c>
      <c r="C132" s="109">
        <v>350</v>
      </c>
      <c r="D132" s="109">
        <f t="shared" si="8"/>
        <v>6</v>
      </c>
      <c r="E132" s="109">
        <v>6</v>
      </c>
      <c r="F132" s="109">
        <v>0</v>
      </c>
      <c r="G132" s="93">
        <f t="shared" si="9"/>
        <v>344</v>
      </c>
      <c r="H132" s="88">
        <f t="shared" si="10"/>
        <v>-344</v>
      </c>
      <c r="I132" s="110"/>
    </row>
    <row r="133" s="68" customFormat="true" spans="1:9">
      <c r="A133" s="91">
        <v>11</v>
      </c>
      <c r="B133" s="92" t="s">
        <v>506</v>
      </c>
      <c r="C133" s="109">
        <v>880</v>
      </c>
      <c r="D133" s="109">
        <f t="shared" si="8"/>
        <v>66</v>
      </c>
      <c r="E133" s="109">
        <v>66</v>
      </c>
      <c r="F133" s="109">
        <v>0</v>
      </c>
      <c r="G133" s="93">
        <f t="shared" si="9"/>
        <v>814</v>
      </c>
      <c r="H133" s="88">
        <f t="shared" si="10"/>
        <v>-814</v>
      </c>
      <c r="I133" s="110"/>
    </row>
    <row r="134" s="68" customFormat="true" ht="25.5" spans="1:9">
      <c r="A134" s="91">
        <v>12</v>
      </c>
      <c r="B134" s="92" t="s">
        <v>507</v>
      </c>
      <c r="C134" s="109">
        <v>1300</v>
      </c>
      <c r="D134" s="109">
        <f t="shared" si="8"/>
        <v>229</v>
      </c>
      <c r="E134" s="109">
        <v>229</v>
      </c>
      <c r="F134" s="109">
        <v>0</v>
      </c>
      <c r="G134" s="93">
        <f t="shared" si="9"/>
        <v>1071</v>
      </c>
      <c r="H134" s="88">
        <f t="shared" si="10"/>
        <v>-1071</v>
      </c>
      <c r="I134" s="110"/>
    </row>
    <row r="135" s="68" customFormat="true" spans="1:9">
      <c r="A135" s="91">
        <v>13</v>
      </c>
      <c r="B135" s="92" t="s">
        <v>508</v>
      </c>
      <c r="C135" s="109">
        <v>6660</v>
      </c>
      <c r="D135" s="109">
        <f t="shared" si="8"/>
        <v>3700</v>
      </c>
      <c r="E135" s="109">
        <v>824</v>
      </c>
      <c r="F135" s="109">
        <f>3442-566</f>
        <v>2876</v>
      </c>
      <c r="G135" s="93">
        <f t="shared" si="9"/>
        <v>2960</v>
      </c>
      <c r="H135" s="88">
        <f t="shared" si="10"/>
        <v>-2960</v>
      </c>
      <c r="I135" s="110"/>
    </row>
    <row r="136" s="68" customFormat="true" spans="1:9">
      <c r="A136" s="91">
        <v>14</v>
      </c>
      <c r="B136" s="92" t="s">
        <v>509</v>
      </c>
      <c r="C136" s="109">
        <v>14000</v>
      </c>
      <c r="D136" s="109">
        <f t="shared" si="8"/>
        <v>11146</v>
      </c>
      <c r="E136" s="109">
        <v>0</v>
      </c>
      <c r="F136" s="109">
        <v>11146</v>
      </c>
      <c r="G136" s="93">
        <f t="shared" si="9"/>
        <v>2854</v>
      </c>
      <c r="H136" s="88">
        <f t="shared" si="10"/>
        <v>-2854</v>
      </c>
      <c r="I136" s="110"/>
    </row>
    <row r="137" s="68" customFormat="true" hidden="true" spans="1:9">
      <c r="A137" s="92"/>
      <c r="B137" s="92" t="s">
        <v>509</v>
      </c>
      <c r="C137" s="109"/>
      <c r="D137" s="109"/>
      <c r="E137" s="109"/>
      <c r="F137" s="109"/>
      <c r="G137" s="109"/>
      <c r="H137" s="109"/>
      <c r="I137" s="110"/>
    </row>
    <row r="138" s="68" customFormat="true" hidden="true" spans="1:9">
      <c r="A138" s="92"/>
      <c r="B138" s="92"/>
      <c r="C138" s="109"/>
      <c r="D138" s="109"/>
      <c r="E138" s="109"/>
      <c r="F138" s="109"/>
      <c r="G138" s="109"/>
      <c r="H138" s="109"/>
      <c r="I138" s="110"/>
    </row>
    <row r="139" s="68" customFormat="true" hidden="true" spans="1:9">
      <c r="A139" s="92"/>
      <c r="B139" s="92"/>
      <c r="C139" s="109"/>
      <c r="D139" s="109"/>
      <c r="E139" s="109"/>
      <c r="F139" s="109"/>
      <c r="G139" s="109"/>
      <c r="H139" s="109"/>
      <c r="I139" s="110"/>
    </row>
    <row r="140" s="68" customFormat="true" hidden="true" spans="1:9">
      <c r="A140" s="92"/>
      <c r="B140" s="92"/>
      <c r="C140" s="109"/>
      <c r="D140" s="109"/>
      <c r="E140" s="109"/>
      <c r="F140" s="109"/>
      <c r="G140" s="109"/>
      <c r="H140" s="109"/>
      <c r="I140" s="110"/>
    </row>
    <row r="141" s="68" customFormat="true" hidden="true" spans="1:9">
      <c r="A141" s="92"/>
      <c r="B141" s="92"/>
      <c r="C141" s="109"/>
      <c r="D141" s="109"/>
      <c r="E141" s="109"/>
      <c r="F141" s="109"/>
      <c r="G141" s="109"/>
      <c r="H141" s="109"/>
      <c r="I141" s="110"/>
    </row>
    <row r="142" s="68" customFormat="true" hidden="true" spans="1:9">
      <c r="A142" s="92"/>
      <c r="B142" s="92"/>
      <c r="C142" s="109"/>
      <c r="D142" s="109"/>
      <c r="E142" s="109"/>
      <c r="F142" s="109"/>
      <c r="G142" s="109"/>
      <c r="H142" s="109"/>
      <c r="I142" s="110"/>
    </row>
    <row r="143" s="68" customFormat="true" hidden="true" spans="1:9">
      <c r="A143" s="92"/>
      <c r="B143" s="92"/>
      <c r="C143" s="109"/>
      <c r="D143" s="109"/>
      <c r="E143" s="109"/>
      <c r="F143" s="109"/>
      <c r="G143" s="109"/>
      <c r="H143" s="109"/>
      <c r="I143" s="110"/>
    </row>
    <row r="144" s="68" customFormat="true" hidden="true" spans="1:9">
      <c r="A144" s="92"/>
      <c r="B144" s="92"/>
      <c r="C144" s="109"/>
      <c r="D144" s="109"/>
      <c r="E144" s="109"/>
      <c r="F144" s="109"/>
      <c r="G144" s="109"/>
      <c r="H144" s="109"/>
      <c r="I144" s="110"/>
    </row>
    <row r="145" s="68" customFormat="true" hidden="true" spans="1:9">
      <c r="A145" s="92"/>
      <c r="B145" s="92"/>
      <c r="C145" s="109"/>
      <c r="D145" s="109"/>
      <c r="E145" s="109"/>
      <c r="F145" s="109"/>
      <c r="G145" s="109"/>
      <c r="H145" s="109"/>
      <c r="I145" s="110"/>
    </row>
    <row r="146" s="68" customFormat="true" hidden="true" spans="1:9">
      <c r="A146" s="92"/>
      <c r="B146" s="92"/>
      <c r="C146" s="109"/>
      <c r="D146" s="109"/>
      <c r="E146" s="109"/>
      <c r="F146" s="109"/>
      <c r="G146" s="109"/>
      <c r="H146" s="109"/>
      <c r="I146" s="110"/>
    </row>
    <row r="147" s="68" customFormat="true" hidden="true" spans="1:9">
      <c r="A147" s="92"/>
      <c r="B147" s="92"/>
      <c r="C147" s="109"/>
      <c r="D147" s="109"/>
      <c r="E147" s="109"/>
      <c r="F147" s="109"/>
      <c r="G147" s="109"/>
      <c r="H147" s="109"/>
      <c r="I147" s="110"/>
    </row>
    <row r="148" s="68" customFormat="true" hidden="true" spans="1:9">
      <c r="A148" s="92"/>
      <c r="B148" s="92"/>
      <c r="C148" s="109"/>
      <c r="D148" s="109"/>
      <c r="E148" s="109"/>
      <c r="F148" s="109"/>
      <c r="G148" s="109"/>
      <c r="H148" s="109"/>
      <c r="I148" s="110"/>
    </row>
    <row r="149" s="68" customFormat="true" hidden="true" spans="1:9">
      <c r="A149" s="92"/>
      <c r="B149" s="92"/>
      <c r="C149" s="109"/>
      <c r="D149" s="109"/>
      <c r="E149" s="109"/>
      <c r="F149" s="109"/>
      <c r="G149" s="109"/>
      <c r="H149" s="109"/>
      <c r="I149" s="110"/>
    </row>
    <row r="150" s="68" customFormat="true" hidden="true" spans="1:9">
      <c r="A150" s="92"/>
      <c r="B150" s="92"/>
      <c r="C150" s="109"/>
      <c r="D150" s="109"/>
      <c r="E150" s="109"/>
      <c r="F150" s="109"/>
      <c r="G150" s="109"/>
      <c r="H150" s="109"/>
      <c r="I150" s="110"/>
    </row>
    <row r="151" s="68" customFormat="true" hidden="true" spans="1:9">
      <c r="A151" s="92"/>
      <c r="B151" s="92"/>
      <c r="C151" s="109"/>
      <c r="D151" s="109"/>
      <c r="E151" s="109"/>
      <c r="F151" s="109"/>
      <c r="G151" s="109"/>
      <c r="H151" s="109"/>
      <c r="I151" s="110"/>
    </row>
    <row r="152" s="68" customFormat="true" hidden="true" spans="1:9">
      <c r="A152" s="92"/>
      <c r="B152" s="92"/>
      <c r="C152" s="109"/>
      <c r="D152" s="109"/>
      <c r="E152" s="109"/>
      <c r="F152" s="109"/>
      <c r="G152" s="109"/>
      <c r="H152" s="109"/>
      <c r="I152" s="110"/>
    </row>
    <row r="153" s="68" customFormat="true" hidden="true" spans="1:9">
      <c r="A153" s="92"/>
      <c r="B153" s="92"/>
      <c r="C153" s="109"/>
      <c r="D153" s="109"/>
      <c r="E153" s="109"/>
      <c r="F153" s="109"/>
      <c r="G153" s="109"/>
      <c r="H153" s="109"/>
      <c r="I153" s="110"/>
    </row>
    <row r="154" s="68" customFormat="true" hidden="true" spans="1:9">
      <c r="A154" s="92"/>
      <c r="B154" s="92"/>
      <c r="C154" s="109"/>
      <c r="D154" s="109"/>
      <c r="E154" s="109"/>
      <c r="F154" s="109"/>
      <c r="G154" s="109"/>
      <c r="H154" s="109"/>
      <c r="I154" s="110"/>
    </row>
    <row r="155" s="68" customFormat="true" hidden="true" spans="1:9">
      <c r="A155" s="92"/>
      <c r="B155" s="92"/>
      <c r="C155" s="109"/>
      <c r="D155" s="109"/>
      <c r="E155" s="109"/>
      <c r="F155" s="109"/>
      <c r="G155" s="109"/>
      <c r="H155" s="109"/>
      <c r="I155" s="110"/>
    </row>
    <row r="156" s="70" customFormat="true" spans="1:9">
      <c r="A156" s="111" t="s">
        <v>305</v>
      </c>
      <c r="B156" s="112" t="s">
        <v>306</v>
      </c>
      <c r="C156" s="113">
        <f t="shared" ref="C156:H156" si="11">C157+C227</f>
        <v>10715</v>
      </c>
      <c r="D156" s="88">
        <f>C156-G156</f>
        <v>882561</v>
      </c>
      <c r="E156" s="113">
        <f t="shared" si="11"/>
        <v>750733</v>
      </c>
      <c r="F156" s="113">
        <f t="shared" si="11"/>
        <v>131828</v>
      </c>
      <c r="G156" s="113">
        <f t="shared" si="11"/>
        <v>-871846</v>
      </c>
      <c r="H156" s="113">
        <f t="shared" si="11"/>
        <v>871846</v>
      </c>
      <c r="I156" s="119"/>
    </row>
    <row r="157" s="70" customFormat="true" spans="1:9">
      <c r="A157" s="87"/>
      <c r="B157" s="114" t="s">
        <v>451</v>
      </c>
      <c r="C157" s="88">
        <f t="shared" ref="C157:H157" si="12">SUM(C158:C226)</f>
        <v>0</v>
      </c>
      <c r="D157" s="88">
        <f t="shared" si="12"/>
        <v>631383</v>
      </c>
      <c r="E157" s="88">
        <f t="shared" si="12"/>
        <v>519539</v>
      </c>
      <c r="F157" s="88">
        <f t="shared" si="12"/>
        <v>111844</v>
      </c>
      <c r="G157" s="88">
        <f t="shared" si="12"/>
        <v>-631383</v>
      </c>
      <c r="H157" s="88">
        <f t="shared" si="12"/>
        <v>631383</v>
      </c>
      <c r="I157" s="114"/>
    </row>
    <row r="158" s="70" customFormat="true" spans="1:9">
      <c r="A158" s="91">
        <v>1</v>
      </c>
      <c r="B158" s="92" t="s">
        <v>510</v>
      </c>
      <c r="C158" s="93">
        <v>0</v>
      </c>
      <c r="D158" s="93">
        <f>E158+F158</f>
        <v>20000</v>
      </c>
      <c r="E158" s="93">
        <v>20000</v>
      </c>
      <c r="F158" s="93"/>
      <c r="G158" s="93">
        <f>-H158</f>
        <v>-20000</v>
      </c>
      <c r="H158" s="93">
        <v>20000</v>
      </c>
      <c r="I158" s="106"/>
    </row>
    <row r="159" s="70" customFormat="true" spans="1:9">
      <c r="A159" s="91">
        <v>2</v>
      </c>
      <c r="B159" s="92" t="s">
        <v>511</v>
      </c>
      <c r="C159" s="93">
        <v>0</v>
      </c>
      <c r="D159" s="93">
        <f t="shared" ref="D159:D190" si="13">E159+F159</f>
        <v>24000</v>
      </c>
      <c r="E159" s="93">
        <v>24000</v>
      </c>
      <c r="F159" s="93"/>
      <c r="G159" s="93">
        <f t="shared" ref="G159:G190" si="14">-H159</f>
        <v>-24000</v>
      </c>
      <c r="H159" s="93">
        <v>24000</v>
      </c>
      <c r="I159" s="106"/>
    </row>
    <row r="160" s="70" customFormat="true" spans="1:9">
      <c r="A160" s="91">
        <v>3</v>
      </c>
      <c r="B160" s="92" t="s">
        <v>512</v>
      </c>
      <c r="C160" s="93">
        <v>0</v>
      </c>
      <c r="D160" s="93">
        <f t="shared" si="13"/>
        <v>1920</v>
      </c>
      <c r="E160" s="93">
        <v>1920</v>
      </c>
      <c r="F160" s="93"/>
      <c r="G160" s="93">
        <f t="shared" si="14"/>
        <v>-1920</v>
      </c>
      <c r="H160" s="93">
        <v>1920</v>
      </c>
      <c r="I160" s="106"/>
    </row>
    <row r="161" s="70" customFormat="true" spans="1:9">
      <c r="A161" s="91">
        <v>4</v>
      </c>
      <c r="B161" s="92" t="s">
        <v>513</v>
      </c>
      <c r="C161" s="93">
        <v>0</v>
      </c>
      <c r="D161" s="93">
        <f t="shared" si="13"/>
        <v>50000</v>
      </c>
      <c r="E161" s="93">
        <v>50000</v>
      </c>
      <c r="F161" s="93"/>
      <c r="G161" s="93">
        <f t="shared" si="14"/>
        <v>-50000</v>
      </c>
      <c r="H161" s="93">
        <v>50000</v>
      </c>
      <c r="I161" s="120"/>
    </row>
    <row r="162" s="70" customFormat="true" spans="1:9">
      <c r="A162" s="91">
        <v>5</v>
      </c>
      <c r="B162" s="92" t="s">
        <v>514</v>
      </c>
      <c r="C162" s="93">
        <v>0</v>
      </c>
      <c r="D162" s="93">
        <f t="shared" si="13"/>
        <v>20000</v>
      </c>
      <c r="E162" s="93">
        <v>20000</v>
      </c>
      <c r="F162" s="93"/>
      <c r="G162" s="93">
        <f t="shared" si="14"/>
        <v>-20000</v>
      </c>
      <c r="H162" s="93">
        <v>20000</v>
      </c>
      <c r="I162" s="120"/>
    </row>
    <row r="163" s="70" customFormat="true" spans="1:9">
      <c r="A163" s="91">
        <v>6</v>
      </c>
      <c r="B163" s="115" t="s">
        <v>515</v>
      </c>
      <c r="C163" s="93">
        <v>0</v>
      </c>
      <c r="D163" s="93">
        <f t="shared" si="13"/>
        <v>12000</v>
      </c>
      <c r="E163" s="93">
        <v>12000</v>
      </c>
      <c r="F163" s="93"/>
      <c r="G163" s="93">
        <f t="shared" si="14"/>
        <v>-12000</v>
      </c>
      <c r="H163" s="93">
        <v>12000</v>
      </c>
      <c r="I163" s="120"/>
    </row>
    <row r="164" s="70" customFormat="true" spans="1:9">
      <c r="A164" s="91">
        <v>7</v>
      </c>
      <c r="B164" s="92" t="s">
        <v>516</v>
      </c>
      <c r="C164" s="93">
        <v>0</v>
      </c>
      <c r="D164" s="93">
        <f t="shared" si="13"/>
        <v>8000</v>
      </c>
      <c r="E164" s="93">
        <v>8000</v>
      </c>
      <c r="F164" s="93"/>
      <c r="G164" s="93">
        <f t="shared" si="14"/>
        <v>-8000</v>
      </c>
      <c r="H164" s="93">
        <v>8000</v>
      </c>
      <c r="I164" s="120"/>
    </row>
    <row r="165" s="70" customFormat="true" spans="1:9">
      <c r="A165" s="91">
        <v>8</v>
      </c>
      <c r="B165" s="92" t="s">
        <v>517</v>
      </c>
      <c r="C165" s="93">
        <v>0</v>
      </c>
      <c r="D165" s="93">
        <f t="shared" si="13"/>
        <v>10000</v>
      </c>
      <c r="E165" s="93">
        <v>10000</v>
      </c>
      <c r="F165" s="93"/>
      <c r="G165" s="93">
        <f t="shared" si="14"/>
        <v>-10000</v>
      </c>
      <c r="H165" s="93">
        <v>10000</v>
      </c>
      <c r="I165" s="120"/>
    </row>
    <row r="166" s="70" customFormat="true" spans="1:9">
      <c r="A166" s="91">
        <v>9</v>
      </c>
      <c r="B166" s="92" t="s">
        <v>518</v>
      </c>
      <c r="C166" s="93">
        <v>0</v>
      </c>
      <c r="D166" s="93">
        <f t="shared" si="13"/>
        <v>10100</v>
      </c>
      <c r="E166" s="93">
        <v>10100</v>
      </c>
      <c r="F166" s="93"/>
      <c r="G166" s="93">
        <f t="shared" si="14"/>
        <v>-10100</v>
      </c>
      <c r="H166" s="93">
        <v>10100</v>
      </c>
      <c r="I166" s="120"/>
    </row>
    <row r="167" s="70" customFormat="true" spans="1:9">
      <c r="A167" s="91">
        <v>10</v>
      </c>
      <c r="B167" s="92" t="s">
        <v>519</v>
      </c>
      <c r="C167" s="93">
        <v>0</v>
      </c>
      <c r="D167" s="93">
        <f t="shared" si="13"/>
        <v>1100</v>
      </c>
      <c r="E167" s="93">
        <v>1100</v>
      </c>
      <c r="F167" s="93"/>
      <c r="G167" s="93">
        <f t="shared" si="14"/>
        <v>-1100</v>
      </c>
      <c r="H167" s="93">
        <v>1100</v>
      </c>
      <c r="I167" s="120"/>
    </row>
    <row r="168" s="70" customFormat="true" spans="1:9">
      <c r="A168" s="91">
        <v>11</v>
      </c>
      <c r="B168" s="92" t="s">
        <v>520</v>
      </c>
      <c r="C168" s="93">
        <v>0</v>
      </c>
      <c r="D168" s="93">
        <f t="shared" si="13"/>
        <v>1540</v>
      </c>
      <c r="E168" s="93">
        <v>1540</v>
      </c>
      <c r="F168" s="93"/>
      <c r="G168" s="93">
        <f t="shared" si="14"/>
        <v>-1540</v>
      </c>
      <c r="H168" s="93">
        <v>1540</v>
      </c>
      <c r="I168" s="120"/>
    </row>
    <row r="169" s="70" customFormat="true" spans="1:9">
      <c r="A169" s="91">
        <v>12</v>
      </c>
      <c r="B169" s="92" t="s">
        <v>521</v>
      </c>
      <c r="C169" s="93">
        <v>0</v>
      </c>
      <c r="D169" s="93">
        <f t="shared" si="13"/>
        <v>6400</v>
      </c>
      <c r="E169" s="93">
        <v>6400</v>
      </c>
      <c r="F169" s="93"/>
      <c r="G169" s="93">
        <f t="shared" si="14"/>
        <v>-6400</v>
      </c>
      <c r="H169" s="93">
        <v>6400</v>
      </c>
      <c r="I169" s="120"/>
    </row>
    <row r="170" s="70" customFormat="true" spans="1:9">
      <c r="A170" s="91">
        <v>13</v>
      </c>
      <c r="B170" s="92" t="s">
        <v>522</v>
      </c>
      <c r="C170" s="93">
        <v>0</v>
      </c>
      <c r="D170" s="93">
        <f t="shared" si="13"/>
        <v>10000</v>
      </c>
      <c r="E170" s="93">
        <v>10000</v>
      </c>
      <c r="F170" s="93"/>
      <c r="G170" s="93">
        <f t="shared" si="14"/>
        <v>-10000</v>
      </c>
      <c r="H170" s="93">
        <v>10000</v>
      </c>
      <c r="I170" s="120"/>
    </row>
    <row r="171" s="70" customFormat="true" spans="1:9">
      <c r="A171" s="91">
        <v>14</v>
      </c>
      <c r="B171" s="92" t="s">
        <v>523</v>
      </c>
      <c r="C171" s="93">
        <v>0</v>
      </c>
      <c r="D171" s="93">
        <f t="shared" si="13"/>
        <v>840</v>
      </c>
      <c r="E171" s="93">
        <v>840</v>
      </c>
      <c r="F171" s="93"/>
      <c r="G171" s="93">
        <f t="shared" si="14"/>
        <v>-840</v>
      </c>
      <c r="H171" s="93">
        <v>840</v>
      </c>
      <c r="I171" s="120"/>
    </row>
    <row r="172" s="70" customFormat="true" spans="1:9">
      <c r="A172" s="91">
        <v>15</v>
      </c>
      <c r="B172" s="92" t="s">
        <v>524</v>
      </c>
      <c r="C172" s="93">
        <v>0</v>
      </c>
      <c r="D172" s="93">
        <f t="shared" si="13"/>
        <v>18400</v>
      </c>
      <c r="E172" s="93">
        <v>18400</v>
      </c>
      <c r="F172" s="93"/>
      <c r="G172" s="93">
        <f t="shared" si="14"/>
        <v>-18400</v>
      </c>
      <c r="H172" s="93">
        <v>18400</v>
      </c>
      <c r="I172" s="120"/>
    </row>
    <row r="173" s="70" customFormat="true" spans="1:9">
      <c r="A173" s="91">
        <v>16</v>
      </c>
      <c r="B173" s="92" t="s">
        <v>525</v>
      </c>
      <c r="C173" s="93">
        <v>0</v>
      </c>
      <c r="D173" s="93">
        <f t="shared" si="13"/>
        <v>14000</v>
      </c>
      <c r="E173" s="93">
        <v>14000</v>
      </c>
      <c r="F173" s="93"/>
      <c r="G173" s="93">
        <f t="shared" si="14"/>
        <v>-14000</v>
      </c>
      <c r="H173" s="93">
        <v>14000</v>
      </c>
      <c r="I173" s="120"/>
    </row>
    <row r="174" s="70" customFormat="true" spans="1:9">
      <c r="A174" s="91">
        <v>17</v>
      </c>
      <c r="B174" s="92" t="s">
        <v>526</v>
      </c>
      <c r="C174" s="93">
        <v>0</v>
      </c>
      <c r="D174" s="93">
        <f t="shared" si="13"/>
        <v>1000</v>
      </c>
      <c r="E174" s="93">
        <v>1000</v>
      </c>
      <c r="F174" s="93"/>
      <c r="G174" s="93">
        <f t="shared" si="14"/>
        <v>-1000</v>
      </c>
      <c r="H174" s="93">
        <v>1000</v>
      </c>
      <c r="I174" s="120"/>
    </row>
    <row r="175" s="70" customFormat="true" spans="1:9">
      <c r="A175" s="91">
        <v>18</v>
      </c>
      <c r="B175" s="92" t="s">
        <v>527</v>
      </c>
      <c r="C175" s="93">
        <v>0</v>
      </c>
      <c r="D175" s="93">
        <f t="shared" si="13"/>
        <v>6300</v>
      </c>
      <c r="E175" s="93">
        <v>6300</v>
      </c>
      <c r="F175" s="93"/>
      <c r="G175" s="93">
        <f t="shared" si="14"/>
        <v>-6300</v>
      </c>
      <c r="H175" s="93">
        <v>6300</v>
      </c>
      <c r="I175" s="120"/>
    </row>
    <row r="176" s="70" customFormat="true" spans="1:9">
      <c r="A176" s="91">
        <v>19</v>
      </c>
      <c r="B176" s="92" t="s">
        <v>528</v>
      </c>
      <c r="C176" s="93">
        <v>0</v>
      </c>
      <c r="D176" s="93">
        <f t="shared" si="13"/>
        <v>1300</v>
      </c>
      <c r="E176" s="93">
        <v>1300</v>
      </c>
      <c r="F176" s="93"/>
      <c r="G176" s="93">
        <f t="shared" si="14"/>
        <v>-1300</v>
      </c>
      <c r="H176" s="93">
        <v>1300</v>
      </c>
      <c r="I176" s="120"/>
    </row>
    <row r="177" s="70" customFormat="true" spans="1:9">
      <c r="A177" s="91">
        <v>20</v>
      </c>
      <c r="B177" s="92" t="s">
        <v>529</v>
      </c>
      <c r="C177" s="93">
        <v>0</v>
      </c>
      <c r="D177" s="93">
        <f t="shared" si="13"/>
        <v>700</v>
      </c>
      <c r="E177" s="93">
        <v>700</v>
      </c>
      <c r="F177" s="93"/>
      <c r="G177" s="93">
        <f t="shared" si="14"/>
        <v>-700</v>
      </c>
      <c r="H177" s="93">
        <v>700</v>
      </c>
      <c r="I177" s="120"/>
    </row>
    <row r="178" s="70" customFormat="true" spans="1:9">
      <c r="A178" s="91">
        <v>21</v>
      </c>
      <c r="B178" s="92" t="s">
        <v>530</v>
      </c>
      <c r="C178" s="93">
        <v>0</v>
      </c>
      <c r="D178" s="93">
        <f t="shared" si="13"/>
        <v>2250</v>
      </c>
      <c r="E178" s="93">
        <v>2250</v>
      </c>
      <c r="F178" s="93"/>
      <c r="G178" s="93">
        <f t="shared" si="14"/>
        <v>-2250</v>
      </c>
      <c r="H178" s="93">
        <v>2250</v>
      </c>
      <c r="I178" s="120"/>
    </row>
    <row r="179" s="70" customFormat="true" spans="1:9">
      <c r="A179" s="91">
        <v>22</v>
      </c>
      <c r="B179" s="92" t="s">
        <v>531</v>
      </c>
      <c r="C179" s="93">
        <v>0</v>
      </c>
      <c r="D179" s="93">
        <f t="shared" si="13"/>
        <v>4140</v>
      </c>
      <c r="E179" s="93">
        <v>4140</v>
      </c>
      <c r="F179" s="93"/>
      <c r="G179" s="93">
        <f t="shared" si="14"/>
        <v>-4140</v>
      </c>
      <c r="H179" s="93">
        <v>4140</v>
      </c>
      <c r="I179" s="120"/>
    </row>
    <row r="180" s="70" customFormat="true" spans="1:9">
      <c r="A180" s="91">
        <v>23</v>
      </c>
      <c r="B180" s="92" t="s">
        <v>532</v>
      </c>
      <c r="C180" s="93">
        <v>0</v>
      </c>
      <c r="D180" s="93">
        <f t="shared" si="13"/>
        <v>3375</v>
      </c>
      <c r="E180" s="93">
        <v>3375</v>
      </c>
      <c r="F180" s="93"/>
      <c r="G180" s="93">
        <f t="shared" si="14"/>
        <v>-3375</v>
      </c>
      <c r="H180" s="93">
        <v>3375</v>
      </c>
      <c r="I180" s="120"/>
    </row>
    <row r="181" s="70" customFormat="true" spans="1:9">
      <c r="A181" s="91">
        <v>24</v>
      </c>
      <c r="B181" s="92" t="s">
        <v>533</v>
      </c>
      <c r="C181" s="93">
        <v>0</v>
      </c>
      <c r="D181" s="93">
        <f t="shared" si="13"/>
        <v>2800</v>
      </c>
      <c r="E181" s="93">
        <v>2800</v>
      </c>
      <c r="F181" s="93"/>
      <c r="G181" s="93">
        <f t="shared" si="14"/>
        <v>-2800</v>
      </c>
      <c r="H181" s="93">
        <v>2800</v>
      </c>
      <c r="I181" s="120"/>
    </row>
    <row r="182" s="70" customFormat="true" spans="1:9">
      <c r="A182" s="91">
        <v>25</v>
      </c>
      <c r="B182" s="92" t="s">
        <v>534</v>
      </c>
      <c r="C182" s="93">
        <v>0</v>
      </c>
      <c r="D182" s="93">
        <f t="shared" si="13"/>
        <v>1000</v>
      </c>
      <c r="E182" s="93">
        <v>1000</v>
      </c>
      <c r="F182" s="93"/>
      <c r="G182" s="93">
        <f t="shared" si="14"/>
        <v>-1000</v>
      </c>
      <c r="H182" s="93">
        <v>1000</v>
      </c>
      <c r="I182" s="120"/>
    </row>
    <row r="183" s="70" customFormat="true" spans="1:9">
      <c r="A183" s="91">
        <v>26</v>
      </c>
      <c r="B183" s="92" t="s">
        <v>535</v>
      </c>
      <c r="C183" s="93">
        <v>0</v>
      </c>
      <c r="D183" s="93">
        <f t="shared" si="13"/>
        <v>7500</v>
      </c>
      <c r="E183" s="93">
        <v>7500</v>
      </c>
      <c r="F183" s="93"/>
      <c r="G183" s="93">
        <f t="shared" si="14"/>
        <v>-7500</v>
      </c>
      <c r="H183" s="93">
        <v>7500</v>
      </c>
      <c r="I183" s="120"/>
    </row>
    <row r="184" s="70" customFormat="true" spans="1:9">
      <c r="A184" s="91">
        <v>27</v>
      </c>
      <c r="B184" s="92" t="s">
        <v>536</v>
      </c>
      <c r="C184" s="93">
        <v>0</v>
      </c>
      <c r="D184" s="93">
        <f t="shared" si="13"/>
        <v>7000</v>
      </c>
      <c r="E184" s="93">
        <v>7000</v>
      </c>
      <c r="F184" s="93"/>
      <c r="G184" s="93">
        <f t="shared" si="14"/>
        <v>-7000</v>
      </c>
      <c r="H184" s="93">
        <v>7000</v>
      </c>
      <c r="I184" s="120"/>
    </row>
    <row r="185" s="70" customFormat="true" spans="1:9">
      <c r="A185" s="91">
        <v>28</v>
      </c>
      <c r="B185" s="92" t="s">
        <v>537</v>
      </c>
      <c r="C185" s="93">
        <v>0</v>
      </c>
      <c r="D185" s="93">
        <f t="shared" si="13"/>
        <v>8500</v>
      </c>
      <c r="E185" s="93">
        <v>8500</v>
      </c>
      <c r="F185" s="93"/>
      <c r="G185" s="93">
        <f t="shared" si="14"/>
        <v>-8500</v>
      </c>
      <c r="H185" s="93">
        <v>8500</v>
      </c>
      <c r="I185" s="120"/>
    </row>
    <row r="186" s="70" customFormat="true" spans="1:9">
      <c r="A186" s="91">
        <v>29</v>
      </c>
      <c r="B186" s="92" t="s">
        <v>538</v>
      </c>
      <c r="C186" s="93">
        <v>0</v>
      </c>
      <c r="D186" s="93">
        <f t="shared" si="13"/>
        <v>2000</v>
      </c>
      <c r="E186" s="93">
        <v>2000</v>
      </c>
      <c r="F186" s="93"/>
      <c r="G186" s="93">
        <f t="shared" si="14"/>
        <v>-2000</v>
      </c>
      <c r="H186" s="93">
        <v>2000</v>
      </c>
      <c r="I186" s="120"/>
    </row>
    <row r="187" s="70" customFormat="true" spans="1:9">
      <c r="A187" s="91">
        <v>30</v>
      </c>
      <c r="B187" s="116" t="s">
        <v>539</v>
      </c>
      <c r="C187" s="93">
        <v>0</v>
      </c>
      <c r="D187" s="93">
        <f t="shared" si="13"/>
        <v>1101</v>
      </c>
      <c r="E187" s="93">
        <v>1101</v>
      </c>
      <c r="F187" s="93"/>
      <c r="G187" s="93">
        <f t="shared" si="14"/>
        <v>-1101</v>
      </c>
      <c r="H187" s="93">
        <v>1101</v>
      </c>
      <c r="I187" s="121"/>
    </row>
    <row r="188" s="71" customFormat="true" spans="1:9">
      <c r="A188" s="91">
        <v>31</v>
      </c>
      <c r="B188" s="117" t="s">
        <v>540</v>
      </c>
      <c r="C188" s="93">
        <v>0</v>
      </c>
      <c r="D188" s="93">
        <f t="shared" si="13"/>
        <v>4600</v>
      </c>
      <c r="E188" s="118">
        <v>4600</v>
      </c>
      <c r="F188" s="93"/>
      <c r="G188" s="93">
        <f t="shared" si="14"/>
        <v>-4600</v>
      </c>
      <c r="H188" s="118">
        <v>4600</v>
      </c>
      <c r="I188" s="121"/>
    </row>
    <row r="189" s="71" customFormat="true" spans="1:9">
      <c r="A189" s="91">
        <v>32</v>
      </c>
      <c r="B189" s="117" t="s">
        <v>541</v>
      </c>
      <c r="C189" s="93">
        <v>0</v>
      </c>
      <c r="D189" s="93">
        <f t="shared" si="13"/>
        <v>8500</v>
      </c>
      <c r="E189" s="118">
        <v>8500</v>
      </c>
      <c r="F189" s="93"/>
      <c r="G189" s="93">
        <f t="shared" si="14"/>
        <v>-8500</v>
      </c>
      <c r="H189" s="118">
        <v>8500</v>
      </c>
      <c r="I189" s="121"/>
    </row>
    <row r="190" s="71" customFormat="true" spans="1:9">
      <c r="A190" s="91">
        <v>33</v>
      </c>
      <c r="B190" s="117" t="s">
        <v>542</v>
      </c>
      <c r="C190" s="93">
        <v>0</v>
      </c>
      <c r="D190" s="93">
        <f t="shared" si="13"/>
        <v>1200</v>
      </c>
      <c r="E190" s="118">
        <v>1200</v>
      </c>
      <c r="F190" s="93"/>
      <c r="G190" s="93">
        <f t="shared" si="14"/>
        <v>-1200</v>
      </c>
      <c r="H190" s="118">
        <v>1200</v>
      </c>
      <c r="I190" s="121"/>
    </row>
    <row r="191" s="72" customFormat="true" spans="1:9">
      <c r="A191" s="91">
        <v>34</v>
      </c>
      <c r="B191" s="117" t="s">
        <v>543</v>
      </c>
      <c r="C191" s="93">
        <v>0</v>
      </c>
      <c r="D191" s="93">
        <f t="shared" ref="D191:D212" si="15">E191+F191</f>
        <v>2000</v>
      </c>
      <c r="E191" s="118">
        <v>2000</v>
      </c>
      <c r="F191" s="93"/>
      <c r="G191" s="93">
        <f t="shared" ref="G191:G212" si="16">-H191</f>
        <v>-2000</v>
      </c>
      <c r="H191" s="118">
        <v>2000</v>
      </c>
      <c r="I191" s="121"/>
    </row>
    <row r="192" s="72" customFormat="true" spans="1:9">
      <c r="A192" s="91">
        <v>35</v>
      </c>
      <c r="B192" s="117" t="s">
        <v>544</v>
      </c>
      <c r="C192" s="93">
        <v>0</v>
      </c>
      <c r="D192" s="93">
        <f t="shared" si="15"/>
        <v>6000</v>
      </c>
      <c r="E192" s="118">
        <v>6000</v>
      </c>
      <c r="F192" s="93"/>
      <c r="G192" s="93">
        <f t="shared" si="16"/>
        <v>-6000</v>
      </c>
      <c r="H192" s="118">
        <v>6000</v>
      </c>
      <c r="I192" s="121"/>
    </row>
    <row r="193" s="72" customFormat="true" spans="1:9">
      <c r="A193" s="91">
        <v>36</v>
      </c>
      <c r="B193" s="117" t="s">
        <v>545</v>
      </c>
      <c r="C193" s="93">
        <v>0</v>
      </c>
      <c r="D193" s="93">
        <f t="shared" si="15"/>
        <v>700</v>
      </c>
      <c r="E193" s="118">
        <v>700</v>
      </c>
      <c r="F193" s="93"/>
      <c r="G193" s="93">
        <f t="shared" si="16"/>
        <v>-700</v>
      </c>
      <c r="H193" s="118">
        <v>700</v>
      </c>
      <c r="I193" s="121"/>
    </row>
    <row r="194" s="72" customFormat="true" spans="1:9">
      <c r="A194" s="91">
        <v>37</v>
      </c>
      <c r="B194" s="117" t="s">
        <v>546</v>
      </c>
      <c r="C194" s="93">
        <v>0</v>
      </c>
      <c r="D194" s="93">
        <f t="shared" si="15"/>
        <v>2500</v>
      </c>
      <c r="E194" s="118">
        <v>2500</v>
      </c>
      <c r="F194" s="93"/>
      <c r="G194" s="93">
        <f t="shared" si="16"/>
        <v>-2500</v>
      </c>
      <c r="H194" s="118">
        <v>2500</v>
      </c>
      <c r="I194" s="121"/>
    </row>
    <row r="195" s="72" customFormat="true" spans="1:9">
      <c r="A195" s="91">
        <v>38</v>
      </c>
      <c r="B195" s="117" t="s">
        <v>547</v>
      </c>
      <c r="C195" s="93">
        <v>0</v>
      </c>
      <c r="D195" s="93">
        <f t="shared" si="15"/>
        <v>1000</v>
      </c>
      <c r="E195" s="118">
        <v>1000</v>
      </c>
      <c r="F195" s="93"/>
      <c r="G195" s="93">
        <f t="shared" si="16"/>
        <v>-1000</v>
      </c>
      <c r="H195" s="118">
        <v>1000</v>
      </c>
      <c r="I195" s="121"/>
    </row>
    <row r="196" s="72" customFormat="true" spans="1:9">
      <c r="A196" s="91">
        <v>39</v>
      </c>
      <c r="B196" s="117" t="s">
        <v>548</v>
      </c>
      <c r="C196" s="93">
        <v>0</v>
      </c>
      <c r="D196" s="93">
        <f t="shared" si="15"/>
        <v>4000</v>
      </c>
      <c r="E196" s="118">
        <v>4000</v>
      </c>
      <c r="F196" s="93"/>
      <c r="G196" s="93">
        <f t="shared" si="16"/>
        <v>-4000</v>
      </c>
      <c r="H196" s="118">
        <v>4000</v>
      </c>
      <c r="I196" s="121"/>
    </row>
    <row r="197" s="72" customFormat="true" spans="1:9">
      <c r="A197" s="91">
        <v>40</v>
      </c>
      <c r="B197" s="117" t="s">
        <v>549</v>
      </c>
      <c r="C197" s="93">
        <v>0</v>
      </c>
      <c r="D197" s="93">
        <f t="shared" si="15"/>
        <v>6000</v>
      </c>
      <c r="E197" s="118">
        <v>6000</v>
      </c>
      <c r="F197" s="93"/>
      <c r="G197" s="93">
        <f t="shared" si="16"/>
        <v>-6000</v>
      </c>
      <c r="H197" s="118">
        <v>6000</v>
      </c>
      <c r="I197" s="121"/>
    </row>
    <row r="198" s="72" customFormat="true" spans="1:9">
      <c r="A198" s="91">
        <v>41</v>
      </c>
      <c r="B198" s="117" t="s">
        <v>550</v>
      </c>
      <c r="C198" s="93">
        <v>0</v>
      </c>
      <c r="D198" s="93">
        <f t="shared" si="15"/>
        <v>3000</v>
      </c>
      <c r="E198" s="118">
        <v>3000</v>
      </c>
      <c r="F198" s="93"/>
      <c r="G198" s="93">
        <f t="shared" si="16"/>
        <v>-3000</v>
      </c>
      <c r="H198" s="118">
        <v>3000</v>
      </c>
      <c r="I198" s="121"/>
    </row>
    <row r="199" s="72" customFormat="true" spans="1:9">
      <c r="A199" s="91">
        <v>42</v>
      </c>
      <c r="B199" s="117" t="s">
        <v>551</v>
      </c>
      <c r="C199" s="93">
        <v>0</v>
      </c>
      <c r="D199" s="93">
        <f t="shared" si="15"/>
        <v>6800</v>
      </c>
      <c r="E199" s="118">
        <v>6800</v>
      </c>
      <c r="F199" s="93"/>
      <c r="G199" s="93">
        <f t="shared" si="16"/>
        <v>-6800</v>
      </c>
      <c r="H199" s="118">
        <v>6800</v>
      </c>
      <c r="I199" s="121"/>
    </row>
    <row r="200" s="72" customFormat="true" spans="1:9">
      <c r="A200" s="91">
        <v>43</v>
      </c>
      <c r="B200" s="117" t="s">
        <v>550</v>
      </c>
      <c r="C200" s="93">
        <v>0</v>
      </c>
      <c r="D200" s="93">
        <f t="shared" si="15"/>
        <v>27000</v>
      </c>
      <c r="E200" s="118"/>
      <c r="F200" s="93">
        <v>27000</v>
      </c>
      <c r="G200" s="93">
        <f t="shared" si="16"/>
        <v>-27000</v>
      </c>
      <c r="H200" s="118">
        <v>27000</v>
      </c>
      <c r="I200" s="121"/>
    </row>
    <row r="201" s="72" customFormat="true" spans="1:9">
      <c r="A201" s="91">
        <v>44</v>
      </c>
      <c r="B201" s="117" t="s">
        <v>552</v>
      </c>
      <c r="C201" s="93">
        <v>0</v>
      </c>
      <c r="D201" s="93">
        <f t="shared" si="15"/>
        <v>25000</v>
      </c>
      <c r="E201" s="118"/>
      <c r="F201" s="93">
        <v>25000</v>
      </c>
      <c r="G201" s="93">
        <f t="shared" si="16"/>
        <v>-25000</v>
      </c>
      <c r="H201" s="118">
        <v>25000</v>
      </c>
      <c r="I201" s="121"/>
    </row>
    <row r="202" s="72" customFormat="true" spans="1:9">
      <c r="A202" s="91">
        <v>45</v>
      </c>
      <c r="B202" s="117" t="s">
        <v>553</v>
      </c>
      <c r="C202" s="93">
        <v>0</v>
      </c>
      <c r="D202" s="93">
        <f t="shared" si="15"/>
        <v>1600</v>
      </c>
      <c r="E202" s="118"/>
      <c r="F202" s="93">
        <v>1600</v>
      </c>
      <c r="G202" s="93">
        <f t="shared" si="16"/>
        <v>-1600</v>
      </c>
      <c r="H202" s="118">
        <v>1600</v>
      </c>
      <c r="I202" s="121"/>
    </row>
    <row r="203" s="72" customFormat="true" spans="1:9">
      <c r="A203" s="91">
        <v>46</v>
      </c>
      <c r="B203" s="117" t="s">
        <v>554</v>
      </c>
      <c r="C203" s="93">
        <v>0</v>
      </c>
      <c r="D203" s="93">
        <f t="shared" si="15"/>
        <v>2700</v>
      </c>
      <c r="E203" s="118"/>
      <c r="F203" s="93">
        <v>2700</v>
      </c>
      <c r="G203" s="93">
        <f t="shared" si="16"/>
        <v>-2700</v>
      </c>
      <c r="H203" s="118">
        <v>2700</v>
      </c>
      <c r="I203" s="121"/>
    </row>
    <row r="204" s="72" customFormat="true" spans="1:9">
      <c r="A204" s="91">
        <v>47</v>
      </c>
      <c r="B204" s="117" t="s">
        <v>529</v>
      </c>
      <c r="C204" s="93">
        <v>0</v>
      </c>
      <c r="D204" s="93">
        <f t="shared" si="15"/>
        <v>1000</v>
      </c>
      <c r="E204" s="118"/>
      <c r="F204" s="93">
        <v>1000</v>
      </c>
      <c r="G204" s="93">
        <f t="shared" si="16"/>
        <v>-1000</v>
      </c>
      <c r="H204" s="118">
        <v>1000</v>
      </c>
      <c r="I204" s="121"/>
    </row>
    <row r="205" s="72" customFormat="true" spans="1:9">
      <c r="A205" s="91">
        <v>48</v>
      </c>
      <c r="B205" s="117" t="s">
        <v>555</v>
      </c>
      <c r="C205" s="93">
        <v>0</v>
      </c>
      <c r="D205" s="93">
        <f t="shared" si="15"/>
        <v>8300</v>
      </c>
      <c r="E205" s="118"/>
      <c r="F205" s="93">
        <v>8300</v>
      </c>
      <c r="G205" s="93">
        <f t="shared" si="16"/>
        <v>-8300</v>
      </c>
      <c r="H205" s="118">
        <v>8300</v>
      </c>
      <c r="I205" s="121"/>
    </row>
    <row r="206" s="72" customFormat="true" spans="1:9">
      <c r="A206" s="91">
        <v>49</v>
      </c>
      <c r="B206" s="117" t="s">
        <v>556</v>
      </c>
      <c r="C206" s="93">
        <v>0</v>
      </c>
      <c r="D206" s="93">
        <f t="shared" si="15"/>
        <v>3200</v>
      </c>
      <c r="E206" s="118"/>
      <c r="F206" s="93">
        <v>3200</v>
      </c>
      <c r="G206" s="93">
        <f t="shared" si="16"/>
        <v>-3200</v>
      </c>
      <c r="H206" s="118">
        <v>3200</v>
      </c>
      <c r="I206" s="121"/>
    </row>
    <row r="207" s="72" customFormat="true" spans="1:9">
      <c r="A207" s="91">
        <v>50</v>
      </c>
      <c r="B207" s="117" t="s">
        <v>557</v>
      </c>
      <c r="C207" s="93">
        <v>0</v>
      </c>
      <c r="D207" s="93">
        <f t="shared" si="15"/>
        <v>3000</v>
      </c>
      <c r="E207" s="118"/>
      <c r="F207" s="93">
        <v>3000</v>
      </c>
      <c r="G207" s="93">
        <f t="shared" si="16"/>
        <v>-3000</v>
      </c>
      <c r="H207" s="118">
        <v>3000</v>
      </c>
      <c r="I207" s="121"/>
    </row>
    <row r="208" s="72" customFormat="true" spans="1:9">
      <c r="A208" s="91">
        <v>51</v>
      </c>
      <c r="B208" s="117" t="s">
        <v>558</v>
      </c>
      <c r="C208" s="93">
        <v>0</v>
      </c>
      <c r="D208" s="93">
        <f t="shared" si="15"/>
        <v>4000</v>
      </c>
      <c r="E208" s="118"/>
      <c r="F208" s="93">
        <v>4000</v>
      </c>
      <c r="G208" s="93">
        <f t="shared" si="16"/>
        <v>-4000</v>
      </c>
      <c r="H208" s="118">
        <v>4000</v>
      </c>
      <c r="I208" s="121"/>
    </row>
    <row r="209" s="72" customFormat="true" spans="1:9">
      <c r="A209" s="91">
        <v>52</v>
      </c>
      <c r="B209" s="117" t="s">
        <v>530</v>
      </c>
      <c r="C209" s="93">
        <v>0</v>
      </c>
      <c r="D209" s="93">
        <f t="shared" si="15"/>
        <v>6000</v>
      </c>
      <c r="E209" s="118"/>
      <c r="F209" s="93">
        <v>6000</v>
      </c>
      <c r="G209" s="93">
        <f t="shared" si="16"/>
        <v>-6000</v>
      </c>
      <c r="H209" s="118">
        <v>6000</v>
      </c>
      <c r="I209" s="121"/>
    </row>
    <row r="210" s="72" customFormat="true" spans="1:9">
      <c r="A210" s="91">
        <v>53</v>
      </c>
      <c r="B210" s="117" t="s">
        <v>542</v>
      </c>
      <c r="C210" s="93">
        <v>0</v>
      </c>
      <c r="D210" s="93">
        <f t="shared" si="15"/>
        <v>2400</v>
      </c>
      <c r="E210" s="118"/>
      <c r="F210" s="93">
        <v>2400</v>
      </c>
      <c r="G210" s="93">
        <f t="shared" si="16"/>
        <v>-2400</v>
      </c>
      <c r="H210" s="118">
        <v>2400</v>
      </c>
      <c r="I210" s="121"/>
    </row>
    <row r="211" s="72" customFormat="true" spans="1:9">
      <c r="A211" s="91">
        <v>54</v>
      </c>
      <c r="B211" s="117" t="s">
        <v>559</v>
      </c>
      <c r="C211" s="93">
        <v>0</v>
      </c>
      <c r="D211" s="93">
        <f t="shared" si="15"/>
        <v>1632</v>
      </c>
      <c r="E211" s="118"/>
      <c r="F211" s="93">
        <v>1632</v>
      </c>
      <c r="G211" s="93">
        <f t="shared" si="16"/>
        <v>-1632</v>
      </c>
      <c r="H211" s="118">
        <v>1632</v>
      </c>
      <c r="I211" s="121"/>
    </row>
    <row r="212" s="72" customFormat="true" spans="1:9">
      <c r="A212" s="91">
        <v>55</v>
      </c>
      <c r="B212" s="117" t="s">
        <v>560</v>
      </c>
      <c r="C212" s="93">
        <v>0</v>
      </c>
      <c r="D212" s="93">
        <f t="shared" si="15"/>
        <v>612</v>
      </c>
      <c r="E212" s="118"/>
      <c r="F212" s="93">
        <v>612</v>
      </c>
      <c r="G212" s="93">
        <f t="shared" si="16"/>
        <v>-612</v>
      </c>
      <c r="H212" s="118">
        <v>612</v>
      </c>
      <c r="I212" s="121"/>
    </row>
    <row r="213" s="72" customFormat="true" spans="1:9">
      <c r="A213" s="91">
        <v>56</v>
      </c>
      <c r="B213" s="117" t="s">
        <v>561</v>
      </c>
      <c r="C213" s="93">
        <v>0</v>
      </c>
      <c r="D213" s="93">
        <f t="shared" ref="D213:D222" si="17">E213+F213</f>
        <v>2800</v>
      </c>
      <c r="E213" s="118">
        <v>2800</v>
      </c>
      <c r="F213" s="93"/>
      <c r="G213" s="93">
        <f t="shared" ref="G213:G222" si="18">-H213</f>
        <v>-2800</v>
      </c>
      <c r="H213" s="118">
        <v>2800</v>
      </c>
      <c r="I213" s="121"/>
    </row>
    <row r="214" s="72" customFormat="true" spans="1:9">
      <c r="A214" s="91">
        <v>57</v>
      </c>
      <c r="B214" s="117" t="s">
        <v>562</v>
      </c>
      <c r="C214" s="93">
        <v>0</v>
      </c>
      <c r="D214" s="93">
        <f t="shared" si="17"/>
        <v>5000</v>
      </c>
      <c r="E214" s="118">
        <v>5000</v>
      </c>
      <c r="F214" s="93"/>
      <c r="G214" s="93">
        <f t="shared" si="18"/>
        <v>-5000</v>
      </c>
      <c r="H214" s="118">
        <v>5000</v>
      </c>
      <c r="I214" s="121"/>
    </row>
    <row r="215" s="72" customFormat="true" spans="1:9">
      <c r="A215" s="91">
        <v>58</v>
      </c>
      <c r="B215" s="117" t="s">
        <v>563</v>
      </c>
      <c r="C215" s="93">
        <v>0</v>
      </c>
      <c r="D215" s="93">
        <f t="shared" si="17"/>
        <v>3000</v>
      </c>
      <c r="E215" s="118">
        <v>3000</v>
      </c>
      <c r="F215" s="93"/>
      <c r="G215" s="93">
        <f t="shared" si="18"/>
        <v>-3000</v>
      </c>
      <c r="H215" s="118">
        <v>3000</v>
      </c>
      <c r="I215" s="121"/>
    </row>
    <row r="216" s="72" customFormat="true" spans="1:9">
      <c r="A216" s="91">
        <v>59</v>
      </c>
      <c r="B216" s="117" t="s">
        <v>564</v>
      </c>
      <c r="C216" s="93">
        <v>0</v>
      </c>
      <c r="D216" s="93">
        <f t="shared" si="17"/>
        <v>5000</v>
      </c>
      <c r="E216" s="118">
        <v>5000</v>
      </c>
      <c r="F216" s="93"/>
      <c r="G216" s="93">
        <f t="shared" si="18"/>
        <v>-5000</v>
      </c>
      <c r="H216" s="118">
        <v>5000</v>
      </c>
      <c r="I216" s="121"/>
    </row>
    <row r="217" s="72" customFormat="true" spans="1:9">
      <c r="A217" s="91">
        <v>60</v>
      </c>
      <c r="B217" s="117" t="s">
        <v>565</v>
      </c>
      <c r="C217" s="93">
        <v>0</v>
      </c>
      <c r="D217" s="93">
        <f t="shared" si="17"/>
        <v>1480</v>
      </c>
      <c r="E217" s="118">
        <v>1480</v>
      </c>
      <c r="F217" s="93"/>
      <c r="G217" s="93">
        <f t="shared" si="18"/>
        <v>-1480</v>
      </c>
      <c r="H217" s="118">
        <v>1480</v>
      </c>
      <c r="I217" s="121"/>
    </row>
    <row r="218" s="72" customFormat="true" spans="1:9">
      <c r="A218" s="91">
        <v>61</v>
      </c>
      <c r="B218" s="117" t="s">
        <v>566</v>
      </c>
      <c r="C218" s="93">
        <v>0</v>
      </c>
      <c r="D218" s="93">
        <f t="shared" si="17"/>
        <v>9200</v>
      </c>
      <c r="E218" s="118">
        <v>9200</v>
      </c>
      <c r="F218" s="93"/>
      <c r="G218" s="93">
        <f t="shared" si="18"/>
        <v>-9200</v>
      </c>
      <c r="H218" s="118">
        <v>9200</v>
      </c>
      <c r="I218" s="121"/>
    </row>
    <row r="219" s="72" customFormat="true" spans="1:9">
      <c r="A219" s="91">
        <v>62</v>
      </c>
      <c r="B219" s="117" t="s">
        <v>567</v>
      </c>
      <c r="C219" s="93">
        <v>0</v>
      </c>
      <c r="D219" s="93">
        <f t="shared" si="17"/>
        <v>1000</v>
      </c>
      <c r="E219" s="118">
        <v>1000</v>
      </c>
      <c r="F219" s="93"/>
      <c r="G219" s="93">
        <f t="shared" si="18"/>
        <v>-1000</v>
      </c>
      <c r="H219" s="118">
        <v>1000</v>
      </c>
      <c r="I219" s="121"/>
    </row>
    <row r="220" s="72" customFormat="true" spans="1:9">
      <c r="A220" s="91">
        <v>63</v>
      </c>
      <c r="B220" s="117" t="s">
        <v>568</v>
      </c>
      <c r="C220" s="93">
        <v>0</v>
      </c>
      <c r="D220" s="93">
        <f t="shared" si="17"/>
        <v>8000</v>
      </c>
      <c r="E220" s="118">
        <v>8000</v>
      </c>
      <c r="F220" s="93"/>
      <c r="G220" s="93">
        <f t="shared" si="18"/>
        <v>-8000</v>
      </c>
      <c r="H220" s="118">
        <v>8000</v>
      </c>
      <c r="I220" s="121"/>
    </row>
    <row r="221" s="72" customFormat="true" spans="1:9">
      <c r="A221" s="91">
        <v>64</v>
      </c>
      <c r="B221" s="117" t="s">
        <v>569</v>
      </c>
      <c r="C221" s="93">
        <v>0</v>
      </c>
      <c r="D221" s="93">
        <f t="shared" si="17"/>
        <v>2430</v>
      </c>
      <c r="E221" s="118">
        <v>2430</v>
      </c>
      <c r="F221" s="93"/>
      <c r="G221" s="93">
        <f t="shared" si="18"/>
        <v>-2430</v>
      </c>
      <c r="H221" s="118">
        <v>2430</v>
      </c>
      <c r="I221" s="121"/>
    </row>
    <row r="222" s="72" customFormat="true" spans="1:9">
      <c r="A222" s="91">
        <v>65</v>
      </c>
      <c r="B222" s="117" t="s">
        <v>495</v>
      </c>
      <c r="C222" s="93">
        <v>0</v>
      </c>
      <c r="D222" s="93">
        <f t="shared" si="17"/>
        <v>203463</v>
      </c>
      <c r="E222" s="118">
        <f>45000+11213+20722+109128-8000</f>
        <v>178063</v>
      </c>
      <c r="F222" s="93">
        <v>25400</v>
      </c>
      <c r="G222" s="93">
        <f t="shared" si="18"/>
        <v>-203463</v>
      </c>
      <c r="H222" s="118">
        <f>D222</f>
        <v>203463</v>
      </c>
      <c r="I222" s="121"/>
    </row>
    <row r="223" s="72" customFormat="true" hidden="true" spans="1:9">
      <c r="A223" s="91"/>
      <c r="B223" s="117"/>
      <c r="C223" s="93"/>
      <c r="D223" s="93"/>
      <c r="E223" s="118"/>
      <c r="F223" s="93"/>
      <c r="G223" s="93"/>
      <c r="H223" s="118"/>
      <c r="I223" s="121"/>
    </row>
    <row r="224" s="72" customFormat="true" hidden="true" spans="1:9">
      <c r="A224" s="91"/>
      <c r="B224" s="117"/>
      <c r="C224" s="93"/>
      <c r="D224" s="93"/>
      <c r="E224" s="118"/>
      <c r="F224" s="93"/>
      <c r="G224" s="93"/>
      <c r="H224" s="118"/>
      <c r="I224" s="121"/>
    </row>
    <row r="225" s="72" customFormat="true" hidden="true" spans="1:9">
      <c r="A225" s="91"/>
      <c r="B225" s="117"/>
      <c r="C225" s="93"/>
      <c r="D225" s="93"/>
      <c r="E225" s="118"/>
      <c r="F225" s="93"/>
      <c r="G225" s="93"/>
      <c r="H225" s="118"/>
      <c r="I225" s="121"/>
    </row>
    <row r="226" s="72" customFormat="true" hidden="true" spans="1:9">
      <c r="A226" s="91"/>
      <c r="B226" s="117"/>
      <c r="C226" s="118"/>
      <c r="D226" s="93"/>
      <c r="E226" s="118"/>
      <c r="F226" s="93"/>
      <c r="G226" s="93"/>
      <c r="H226" s="118"/>
      <c r="I226" s="121"/>
    </row>
    <row r="227" spans="1:9">
      <c r="A227" s="122"/>
      <c r="B227" s="90" t="s">
        <v>362</v>
      </c>
      <c r="C227" s="88">
        <f t="shared" ref="C227:H227" si="19">SUM(C228:C273)</f>
        <v>10715</v>
      </c>
      <c r="D227" s="88">
        <f t="shared" si="19"/>
        <v>251178</v>
      </c>
      <c r="E227" s="88">
        <f t="shared" si="19"/>
        <v>231194</v>
      </c>
      <c r="F227" s="88">
        <f t="shared" si="19"/>
        <v>19984</v>
      </c>
      <c r="G227" s="88">
        <f t="shared" si="19"/>
        <v>-240463</v>
      </c>
      <c r="H227" s="88">
        <f t="shared" si="19"/>
        <v>240463</v>
      </c>
      <c r="I227" s="117"/>
    </row>
    <row r="228" spans="1:9">
      <c r="A228" s="91">
        <v>1</v>
      </c>
      <c r="B228" s="117" t="s">
        <v>393</v>
      </c>
      <c r="C228" s="93">
        <v>0</v>
      </c>
      <c r="D228" s="93">
        <f t="shared" ref="D228:D273" si="20">E228+F228</f>
        <v>500</v>
      </c>
      <c r="E228" s="93">
        <v>500</v>
      </c>
      <c r="F228" s="93"/>
      <c r="G228" s="93">
        <f t="shared" ref="G228:G273" si="21">C228-D228</f>
        <v>-500</v>
      </c>
      <c r="H228" s="93">
        <f t="shared" ref="H228:H254" si="22">-G228</f>
        <v>500</v>
      </c>
      <c r="I228" s="123"/>
    </row>
    <row r="229" spans="1:9">
      <c r="A229" s="91">
        <v>2</v>
      </c>
      <c r="B229" s="117" t="s">
        <v>570</v>
      </c>
      <c r="C229" s="93">
        <v>0</v>
      </c>
      <c r="D229" s="93">
        <f t="shared" si="20"/>
        <v>106</v>
      </c>
      <c r="E229" s="93">
        <v>106</v>
      </c>
      <c r="F229" s="93"/>
      <c r="G229" s="93">
        <f t="shared" si="21"/>
        <v>-106</v>
      </c>
      <c r="H229" s="93">
        <f t="shared" si="22"/>
        <v>106</v>
      </c>
      <c r="I229" s="123"/>
    </row>
    <row r="230" spans="1:9">
      <c r="A230" s="91">
        <v>3</v>
      </c>
      <c r="B230" s="117" t="s">
        <v>571</v>
      </c>
      <c r="C230" s="93">
        <v>0</v>
      </c>
      <c r="D230" s="93">
        <f t="shared" si="20"/>
        <v>90</v>
      </c>
      <c r="E230" s="93">
        <v>90</v>
      </c>
      <c r="F230" s="93"/>
      <c r="G230" s="93">
        <f t="shared" si="21"/>
        <v>-90</v>
      </c>
      <c r="H230" s="93">
        <f t="shared" si="22"/>
        <v>90</v>
      </c>
      <c r="I230" s="123"/>
    </row>
    <row r="231" spans="1:9">
      <c r="A231" s="91">
        <v>4</v>
      </c>
      <c r="B231" s="117" t="s">
        <v>572</v>
      </c>
      <c r="C231" s="93">
        <v>0</v>
      </c>
      <c r="D231" s="93">
        <f t="shared" si="20"/>
        <v>65</v>
      </c>
      <c r="E231" s="93">
        <v>65</v>
      </c>
      <c r="F231" s="93"/>
      <c r="G231" s="93">
        <f t="shared" si="21"/>
        <v>-65</v>
      </c>
      <c r="H231" s="93">
        <f t="shared" si="22"/>
        <v>65</v>
      </c>
      <c r="I231" s="123"/>
    </row>
    <row r="232" spans="1:9">
      <c r="A232" s="91">
        <v>5</v>
      </c>
      <c r="B232" s="117" t="s">
        <v>573</v>
      </c>
      <c r="C232" s="93">
        <v>0</v>
      </c>
      <c r="D232" s="93">
        <f t="shared" si="20"/>
        <v>50</v>
      </c>
      <c r="E232" s="93">
        <v>50</v>
      </c>
      <c r="F232" s="93"/>
      <c r="G232" s="93">
        <f t="shared" si="21"/>
        <v>-50</v>
      </c>
      <c r="H232" s="93">
        <f t="shared" si="22"/>
        <v>50</v>
      </c>
      <c r="I232" s="123"/>
    </row>
    <row r="233" spans="1:9">
      <c r="A233" s="91">
        <v>6</v>
      </c>
      <c r="B233" s="117" t="s">
        <v>574</v>
      </c>
      <c r="C233" s="93">
        <v>0</v>
      </c>
      <c r="D233" s="93">
        <f t="shared" si="20"/>
        <v>60</v>
      </c>
      <c r="E233" s="93">
        <v>60</v>
      </c>
      <c r="F233" s="93"/>
      <c r="G233" s="93">
        <f t="shared" si="21"/>
        <v>-60</v>
      </c>
      <c r="H233" s="93">
        <f t="shared" si="22"/>
        <v>60</v>
      </c>
      <c r="I233" s="123"/>
    </row>
    <row r="234" spans="1:9">
      <c r="A234" s="91">
        <v>7</v>
      </c>
      <c r="B234" s="117" t="s">
        <v>575</v>
      </c>
      <c r="C234" s="93">
        <v>650</v>
      </c>
      <c r="D234" s="93">
        <f t="shared" si="20"/>
        <v>1443</v>
      </c>
      <c r="E234" s="93">
        <v>650</v>
      </c>
      <c r="F234" s="93">
        <v>793</v>
      </c>
      <c r="G234" s="93">
        <f t="shared" si="21"/>
        <v>-793</v>
      </c>
      <c r="H234" s="93">
        <f t="shared" si="22"/>
        <v>793</v>
      </c>
      <c r="I234" s="123"/>
    </row>
    <row r="235" spans="1:9">
      <c r="A235" s="91">
        <v>8</v>
      </c>
      <c r="B235" s="117" t="s">
        <v>390</v>
      </c>
      <c r="C235" s="93">
        <v>5700</v>
      </c>
      <c r="D235" s="93">
        <f t="shared" si="20"/>
        <v>6600</v>
      </c>
      <c r="E235" s="93">
        <v>5700</v>
      </c>
      <c r="F235" s="93">
        <v>900</v>
      </c>
      <c r="G235" s="93">
        <f t="shared" si="21"/>
        <v>-900</v>
      </c>
      <c r="H235" s="93">
        <f t="shared" si="22"/>
        <v>900</v>
      </c>
      <c r="I235" s="123"/>
    </row>
    <row r="236" spans="1:9">
      <c r="A236" s="91">
        <v>9</v>
      </c>
      <c r="B236" s="117" t="s">
        <v>576</v>
      </c>
      <c r="C236" s="93">
        <v>0</v>
      </c>
      <c r="D236" s="93">
        <f t="shared" si="20"/>
        <v>216</v>
      </c>
      <c r="E236" s="93"/>
      <c r="F236" s="93">
        <v>216</v>
      </c>
      <c r="G236" s="93">
        <f t="shared" si="21"/>
        <v>-216</v>
      </c>
      <c r="H236" s="93">
        <f t="shared" si="22"/>
        <v>216</v>
      </c>
      <c r="I236" s="123"/>
    </row>
    <row r="237" spans="1:9">
      <c r="A237" s="91">
        <v>10</v>
      </c>
      <c r="B237" s="117" t="s">
        <v>577</v>
      </c>
      <c r="C237" s="93">
        <v>0</v>
      </c>
      <c r="D237" s="93">
        <f t="shared" si="20"/>
        <v>2033</v>
      </c>
      <c r="E237" s="93">
        <v>0</v>
      </c>
      <c r="F237" s="93">
        <f>1853+180</f>
        <v>2033</v>
      </c>
      <c r="G237" s="93">
        <f t="shared" si="21"/>
        <v>-2033</v>
      </c>
      <c r="H237" s="93">
        <f t="shared" si="22"/>
        <v>2033</v>
      </c>
      <c r="I237" s="123"/>
    </row>
    <row r="238" spans="1:9">
      <c r="A238" s="91">
        <v>11</v>
      </c>
      <c r="B238" s="117" t="s">
        <v>578</v>
      </c>
      <c r="C238" s="93">
        <v>0</v>
      </c>
      <c r="D238" s="93">
        <f t="shared" si="20"/>
        <v>1694</v>
      </c>
      <c r="E238" s="93"/>
      <c r="F238" s="93">
        <f>395+1299</f>
        <v>1694</v>
      </c>
      <c r="G238" s="93">
        <f t="shared" si="21"/>
        <v>-1694</v>
      </c>
      <c r="H238" s="93">
        <f t="shared" si="22"/>
        <v>1694</v>
      </c>
      <c r="I238" s="123"/>
    </row>
    <row r="239" spans="1:9">
      <c r="A239" s="91">
        <v>12</v>
      </c>
      <c r="B239" s="117" t="s">
        <v>579</v>
      </c>
      <c r="C239" s="93">
        <v>0</v>
      </c>
      <c r="D239" s="93">
        <f t="shared" si="20"/>
        <v>337</v>
      </c>
      <c r="E239" s="93"/>
      <c r="F239" s="93">
        <v>337</v>
      </c>
      <c r="G239" s="93">
        <f t="shared" si="21"/>
        <v>-337</v>
      </c>
      <c r="H239" s="93">
        <f t="shared" si="22"/>
        <v>337</v>
      </c>
      <c r="I239" s="123"/>
    </row>
    <row r="240" spans="1:9">
      <c r="A240" s="91">
        <v>13</v>
      </c>
      <c r="B240" s="117" t="s">
        <v>580</v>
      </c>
      <c r="C240" s="93">
        <v>0</v>
      </c>
      <c r="D240" s="93">
        <f t="shared" si="20"/>
        <v>239</v>
      </c>
      <c r="E240" s="93"/>
      <c r="F240" s="93">
        <v>239</v>
      </c>
      <c r="G240" s="93">
        <f t="shared" si="21"/>
        <v>-239</v>
      </c>
      <c r="H240" s="93">
        <f t="shared" si="22"/>
        <v>239</v>
      </c>
      <c r="I240" s="123"/>
    </row>
    <row r="241" spans="1:9">
      <c r="A241" s="91">
        <v>14</v>
      </c>
      <c r="B241" s="117" t="s">
        <v>581</v>
      </c>
      <c r="C241" s="93">
        <v>0</v>
      </c>
      <c r="D241" s="93">
        <f t="shared" si="20"/>
        <v>3500</v>
      </c>
      <c r="E241" s="93"/>
      <c r="F241" s="93">
        <v>3500</v>
      </c>
      <c r="G241" s="93">
        <f t="shared" si="21"/>
        <v>-3500</v>
      </c>
      <c r="H241" s="93">
        <f t="shared" si="22"/>
        <v>3500</v>
      </c>
      <c r="I241" s="124"/>
    </row>
    <row r="242" spans="1:9">
      <c r="A242" s="91">
        <v>15</v>
      </c>
      <c r="B242" s="117" t="s">
        <v>582</v>
      </c>
      <c r="C242" s="93">
        <v>0</v>
      </c>
      <c r="D242" s="93">
        <f t="shared" si="20"/>
        <v>974</v>
      </c>
      <c r="E242" s="93"/>
      <c r="F242" s="93">
        <v>974</v>
      </c>
      <c r="G242" s="93">
        <f t="shared" si="21"/>
        <v>-974</v>
      </c>
      <c r="H242" s="93">
        <f t="shared" si="22"/>
        <v>974</v>
      </c>
      <c r="I242" s="124"/>
    </row>
    <row r="243" spans="1:9">
      <c r="A243" s="91">
        <v>16</v>
      </c>
      <c r="B243" s="117" t="s">
        <v>583</v>
      </c>
      <c r="C243" s="93">
        <v>0</v>
      </c>
      <c r="D243" s="93">
        <f t="shared" si="20"/>
        <v>29</v>
      </c>
      <c r="E243" s="93"/>
      <c r="F243" s="93">
        <v>29</v>
      </c>
      <c r="G243" s="93">
        <f t="shared" si="21"/>
        <v>-29</v>
      </c>
      <c r="H243" s="93">
        <f t="shared" si="22"/>
        <v>29</v>
      </c>
      <c r="I243" s="124"/>
    </row>
    <row r="244" spans="1:9">
      <c r="A244" s="91">
        <v>17</v>
      </c>
      <c r="B244" s="117" t="s">
        <v>584</v>
      </c>
      <c r="C244" s="93">
        <v>0</v>
      </c>
      <c r="D244" s="93">
        <f t="shared" si="20"/>
        <v>117</v>
      </c>
      <c r="E244" s="93"/>
      <c r="F244" s="93">
        <v>117</v>
      </c>
      <c r="G244" s="93">
        <f t="shared" si="21"/>
        <v>-117</v>
      </c>
      <c r="H244" s="93">
        <f t="shared" si="22"/>
        <v>117</v>
      </c>
      <c r="I244" s="124"/>
    </row>
    <row r="245" spans="1:9">
      <c r="A245" s="91">
        <v>18</v>
      </c>
      <c r="B245" s="117" t="s">
        <v>585</v>
      </c>
      <c r="C245" s="93">
        <v>0</v>
      </c>
      <c r="D245" s="93">
        <f t="shared" si="20"/>
        <v>2000</v>
      </c>
      <c r="E245" s="93"/>
      <c r="F245" s="93">
        <v>2000</v>
      </c>
      <c r="G245" s="93">
        <f t="shared" si="21"/>
        <v>-2000</v>
      </c>
      <c r="H245" s="93">
        <f t="shared" si="22"/>
        <v>2000</v>
      </c>
      <c r="I245" s="124"/>
    </row>
    <row r="246" spans="1:9">
      <c r="A246" s="91">
        <v>19</v>
      </c>
      <c r="B246" s="117" t="s">
        <v>586</v>
      </c>
      <c r="C246" s="93">
        <v>1065</v>
      </c>
      <c r="D246" s="93">
        <f t="shared" si="20"/>
        <v>2200</v>
      </c>
      <c r="E246" s="93">
        <v>0</v>
      </c>
      <c r="F246" s="93">
        <v>2200</v>
      </c>
      <c r="G246" s="93">
        <f t="shared" si="21"/>
        <v>-1135</v>
      </c>
      <c r="H246" s="93">
        <f t="shared" si="22"/>
        <v>1135</v>
      </c>
      <c r="I246" s="124"/>
    </row>
    <row r="247" spans="1:9">
      <c r="A247" s="91">
        <v>20</v>
      </c>
      <c r="B247" s="117" t="s">
        <v>587</v>
      </c>
      <c r="C247" s="93">
        <v>0</v>
      </c>
      <c r="D247" s="93">
        <f t="shared" si="20"/>
        <v>7650</v>
      </c>
      <c r="E247" s="93">
        <v>7650</v>
      </c>
      <c r="F247" s="93"/>
      <c r="G247" s="93">
        <f t="shared" si="21"/>
        <v>-7650</v>
      </c>
      <c r="H247" s="93">
        <f t="shared" si="22"/>
        <v>7650</v>
      </c>
      <c r="I247" s="124"/>
    </row>
    <row r="248" spans="1:9">
      <c r="A248" s="91">
        <v>21</v>
      </c>
      <c r="B248" s="117" t="s">
        <v>587</v>
      </c>
      <c r="C248" s="93"/>
      <c r="D248" s="93">
        <f t="shared" si="20"/>
        <v>10000</v>
      </c>
      <c r="E248" s="93">
        <v>10000</v>
      </c>
      <c r="F248" s="93"/>
      <c r="G248" s="93">
        <f t="shared" si="21"/>
        <v>-10000</v>
      </c>
      <c r="H248" s="93">
        <f t="shared" si="22"/>
        <v>10000</v>
      </c>
      <c r="I248" s="124"/>
    </row>
    <row r="249" spans="1:9">
      <c r="A249" s="91">
        <v>22</v>
      </c>
      <c r="B249" s="117" t="s">
        <v>587</v>
      </c>
      <c r="C249" s="93">
        <v>0</v>
      </c>
      <c r="D249" s="93">
        <f t="shared" si="20"/>
        <v>9350</v>
      </c>
      <c r="E249" s="93">
        <v>9350</v>
      </c>
      <c r="F249" s="93"/>
      <c r="G249" s="93">
        <f t="shared" si="21"/>
        <v>-9350</v>
      </c>
      <c r="H249" s="93">
        <f t="shared" si="22"/>
        <v>9350</v>
      </c>
      <c r="I249" s="124"/>
    </row>
    <row r="250" spans="1:9">
      <c r="A250" s="91">
        <v>23</v>
      </c>
      <c r="B250" s="117" t="s">
        <v>393</v>
      </c>
      <c r="C250" s="93">
        <v>0</v>
      </c>
      <c r="D250" s="93">
        <f t="shared" si="20"/>
        <v>1974</v>
      </c>
      <c r="E250" s="93">
        <f>1542+329+103</f>
        <v>1974</v>
      </c>
      <c r="F250" s="93"/>
      <c r="G250" s="93">
        <f t="shared" si="21"/>
        <v>-1974</v>
      </c>
      <c r="H250" s="93">
        <f t="shared" si="22"/>
        <v>1974</v>
      </c>
      <c r="I250" s="124"/>
    </row>
    <row r="251" spans="1:9">
      <c r="A251" s="91">
        <v>24</v>
      </c>
      <c r="B251" s="117" t="s">
        <v>588</v>
      </c>
      <c r="C251" s="93">
        <v>0</v>
      </c>
      <c r="D251" s="93">
        <f t="shared" si="20"/>
        <v>5000</v>
      </c>
      <c r="E251" s="93">
        <v>5000</v>
      </c>
      <c r="F251" s="93"/>
      <c r="G251" s="93">
        <f t="shared" si="21"/>
        <v>-5000</v>
      </c>
      <c r="H251" s="93">
        <f t="shared" si="22"/>
        <v>5000</v>
      </c>
      <c r="I251" s="124"/>
    </row>
    <row r="252" spans="1:9">
      <c r="A252" s="91">
        <v>25</v>
      </c>
      <c r="B252" s="117" t="s">
        <v>589</v>
      </c>
      <c r="C252" s="93">
        <v>0</v>
      </c>
      <c r="D252" s="93">
        <f t="shared" si="20"/>
        <v>1500</v>
      </c>
      <c r="E252" s="93">
        <f>1500</f>
        <v>1500</v>
      </c>
      <c r="F252" s="93"/>
      <c r="G252" s="93">
        <f t="shared" si="21"/>
        <v>-1500</v>
      </c>
      <c r="H252" s="93">
        <f t="shared" si="22"/>
        <v>1500</v>
      </c>
      <c r="I252" s="124"/>
    </row>
    <row r="253" spans="1:9">
      <c r="A253" s="91">
        <v>26</v>
      </c>
      <c r="B253" s="117" t="s">
        <v>590</v>
      </c>
      <c r="C253" s="93">
        <v>3300</v>
      </c>
      <c r="D253" s="93">
        <f t="shared" si="20"/>
        <v>3553</v>
      </c>
      <c r="E253" s="93">
        <v>2051</v>
      </c>
      <c r="F253" s="93">
        <v>1502</v>
      </c>
      <c r="G253" s="93">
        <f t="shared" si="21"/>
        <v>-253</v>
      </c>
      <c r="H253" s="93">
        <f t="shared" si="22"/>
        <v>253</v>
      </c>
      <c r="I253" s="124"/>
    </row>
    <row r="254" spans="1:9">
      <c r="A254" s="91">
        <v>27</v>
      </c>
      <c r="B254" s="117" t="s">
        <v>591</v>
      </c>
      <c r="C254" s="93">
        <v>0</v>
      </c>
      <c r="D254" s="93">
        <f t="shared" si="20"/>
        <v>3450</v>
      </c>
      <c r="E254" s="93">
        <v>0</v>
      </c>
      <c r="F254" s="93">
        <f>1725+1725</f>
        <v>3450</v>
      </c>
      <c r="G254" s="93">
        <f t="shared" si="21"/>
        <v>-3450</v>
      </c>
      <c r="H254" s="93">
        <f t="shared" si="22"/>
        <v>3450</v>
      </c>
      <c r="I254" s="124"/>
    </row>
    <row r="255" spans="1:9">
      <c r="A255" s="91">
        <v>28</v>
      </c>
      <c r="B255" s="117" t="s">
        <v>592</v>
      </c>
      <c r="C255" s="93">
        <v>0</v>
      </c>
      <c r="D255" s="93">
        <f t="shared" si="20"/>
        <v>262</v>
      </c>
      <c r="E255" s="93">
        <v>262</v>
      </c>
      <c r="F255" s="93"/>
      <c r="G255" s="93">
        <f t="shared" si="21"/>
        <v>-262</v>
      </c>
      <c r="H255" s="93">
        <v>262</v>
      </c>
      <c r="I255" s="124"/>
    </row>
    <row r="256" spans="1:9">
      <c r="A256" s="91">
        <v>29</v>
      </c>
      <c r="B256" s="117" t="s">
        <v>593</v>
      </c>
      <c r="C256" s="93">
        <v>0</v>
      </c>
      <c r="D256" s="93">
        <f t="shared" si="20"/>
        <v>39</v>
      </c>
      <c r="E256" s="93">
        <v>39</v>
      </c>
      <c r="F256" s="93"/>
      <c r="G256" s="93">
        <f t="shared" si="21"/>
        <v>-39</v>
      </c>
      <c r="H256" s="93">
        <v>39</v>
      </c>
      <c r="I256" s="124"/>
    </row>
    <row r="257" spans="1:9">
      <c r="A257" s="91">
        <v>30</v>
      </c>
      <c r="B257" s="117" t="s">
        <v>594</v>
      </c>
      <c r="C257" s="93">
        <v>0</v>
      </c>
      <c r="D257" s="93">
        <f t="shared" si="20"/>
        <v>5351</v>
      </c>
      <c r="E257" s="93">
        <f>5253+98</f>
        <v>5351</v>
      </c>
      <c r="F257" s="93"/>
      <c r="G257" s="93">
        <f t="shared" si="21"/>
        <v>-5351</v>
      </c>
      <c r="H257" s="93">
        <v>5351</v>
      </c>
      <c r="I257" s="123"/>
    </row>
    <row r="258" spans="1:9">
      <c r="A258" s="91">
        <v>31</v>
      </c>
      <c r="B258" s="117" t="s">
        <v>595</v>
      </c>
      <c r="C258" s="93">
        <v>0</v>
      </c>
      <c r="D258" s="93">
        <f t="shared" si="20"/>
        <v>21249</v>
      </c>
      <c r="E258" s="93">
        <v>21249</v>
      </c>
      <c r="F258" s="93"/>
      <c r="G258" s="93">
        <f t="shared" si="21"/>
        <v>-21249</v>
      </c>
      <c r="H258" s="93">
        <v>21249</v>
      </c>
      <c r="I258" s="123"/>
    </row>
    <row r="259" spans="1:9">
      <c r="A259" s="91">
        <v>32</v>
      </c>
      <c r="B259" s="117" t="s">
        <v>596</v>
      </c>
      <c r="C259" s="93">
        <v>0</v>
      </c>
      <c r="D259" s="93">
        <f t="shared" si="20"/>
        <v>11024</v>
      </c>
      <c r="E259" s="93">
        <v>11024</v>
      </c>
      <c r="F259" s="93"/>
      <c r="G259" s="93">
        <f t="shared" si="21"/>
        <v>-11024</v>
      </c>
      <c r="H259" s="93">
        <v>11024</v>
      </c>
      <c r="I259" s="123"/>
    </row>
    <row r="260" spans="1:9">
      <c r="A260" s="91">
        <v>33</v>
      </c>
      <c r="B260" s="117" t="s">
        <v>597</v>
      </c>
      <c r="C260" s="93">
        <v>0</v>
      </c>
      <c r="D260" s="93">
        <f t="shared" si="20"/>
        <v>9518</v>
      </c>
      <c r="E260" s="93">
        <f>8143+900+475</f>
        <v>9518</v>
      </c>
      <c r="F260" s="93"/>
      <c r="G260" s="93">
        <f t="shared" si="21"/>
        <v>-9518</v>
      </c>
      <c r="H260" s="93">
        <v>9518</v>
      </c>
      <c r="I260" s="123"/>
    </row>
    <row r="261" spans="1:9">
      <c r="A261" s="91">
        <v>34</v>
      </c>
      <c r="B261" s="117" t="s">
        <v>592</v>
      </c>
      <c r="C261" s="93">
        <v>0</v>
      </c>
      <c r="D261" s="93">
        <f t="shared" si="20"/>
        <v>21350</v>
      </c>
      <c r="E261" s="93">
        <v>21350</v>
      </c>
      <c r="F261" s="93"/>
      <c r="G261" s="93">
        <f t="shared" si="21"/>
        <v>-21350</v>
      </c>
      <c r="H261" s="93">
        <v>21350</v>
      </c>
      <c r="I261" s="123"/>
    </row>
    <row r="262" spans="1:9">
      <c r="A262" s="91">
        <v>35</v>
      </c>
      <c r="B262" s="117" t="s">
        <v>593</v>
      </c>
      <c r="C262" s="93">
        <v>0</v>
      </c>
      <c r="D262" s="93">
        <f t="shared" si="20"/>
        <v>1500</v>
      </c>
      <c r="E262" s="93">
        <v>1500</v>
      </c>
      <c r="F262" s="93"/>
      <c r="G262" s="93">
        <f t="shared" si="21"/>
        <v>-1500</v>
      </c>
      <c r="H262" s="93">
        <v>1500</v>
      </c>
      <c r="I262" s="123"/>
    </row>
    <row r="263" spans="1:9">
      <c r="A263" s="91">
        <v>36</v>
      </c>
      <c r="B263" s="117" t="s">
        <v>598</v>
      </c>
      <c r="C263" s="93">
        <v>0</v>
      </c>
      <c r="D263" s="93">
        <f t="shared" si="20"/>
        <v>4900</v>
      </c>
      <c r="E263" s="93">
        <v>4900</v>
      </c>
      <c r="F263" s="93"/>
      <c r="G263" s="93">
        <f t="shared" si="21"/>
        <v>-4900</v>
      </c>
      <c r="H263" s="93">
        <v>4900</v>
      </c>
      <c r="I263" s="123"/>
    </row>
    <row r="264" spans="1:9">
      <c r="A264" s="91">
        <v>37</v>
      </c>
      <c r="B264" s="117" t="s">
        <v>599</v>
      </c>
      <c r="C264" s="93">
        <v>0</v>
      </c>
      <c r="D264" s="93">
        <f t="shared" si="20"/>
        <v>2800</v>
      </c>
      <c r="E264" s="93">
        <v>2800</v>
      </c>
      <c r="F264" s="93"/>
      <c r="G264" s="93">
        <f t="shared" si="21"/>
        <v>-2800</v>
      </c>
      <c r="H264" s="93">
        <v>2800</v>
      </c>
      <c r="I264" s="123"/>
    </row>
    <row r="265" spans="1:9">
      <c r="A265" s="91">
        <v>38</v>
      </c>
      <c r="B265" s="117" t="s">
        <v>600</v>
      </c>
      <c r="C265" s="93">
        <v>0</v>
      </c>
      <c r="D265" s="93">
        <f t="shared" si="20"/>
        <v>7280</v>
      </c>
      <c r="E265" s="93">
        <v>7280</v>
      </c>
      <c r="F265" s="93"/>
      <c r="G265" s="93">
        <f t="shared" si="21"/>
        <v>-7280</v>
      </c>
      <c r="H265" s="93">
        <v>7280</v>
      </c>
      <c r="I265" s="123"/>
    </row>
    <row r="266" spans="1:9">
      <c r="A266" s="91">
        <v>39</v>
      </c>
      <c r="B266" s="117" t="s">
        <v>601</v>
      </c>
      <c r="C266" s="93">
        <v>0</v>
      </c>
      <c r="D266" s="93">
        <f t="shared" si="20"/>
        <v>14450</v>
      </c>
      <c r="E266" s="93">
        <v>14450</v>
      </c>
      <c r="F266" s="93"/>
      <c r="G266" s="93">
        <f t="shared" si="21"/>
        <v>-14450</v>
      </c>
      <c r="H266" s="93">
        <f t="shared" ref="H266:H273" si="23">-G266</f>
        <v>14450</v>
      </c>
      <c r="I266" s="123"/>
    </row>
    <row r="267" spans="1:9">
      <c r="A267" s="91">
        <v>40</v>
      </c>
      <c r="B267" s="117" t="s">
        <v>602</v>
      </c>
      <c r="C267" s="93">
        <v>0</v>
      </c>
      <c r="D267" s="93">
        <f t="shared" si="20"/>
        <v>5000</v>
      </c>
      <c r="E267" s="93">
        <v>5000</v>
      </c>
      <c r="F267" s="93"/>
      <c r="G267" s="93">
        <f t="shared" si="21"/>
        <v>-5000</v>
      </c>
      <c r="H267" s="93">
        <v>5000</v>
      </c>
      <c r="I267" s="123"/>
    </row>
    <row r="268" spans="1:9">
      <c r="A268" s="91">
        <v>41</v>
      </c>
      <c r="B268" s="117" t="s">
        <v>595</v>
      </c>
      <c r="C268" s="93">
        <v>0</v>
      </c>
      <c r="D268" s="93">
        <f t="shared" si="20"/>
        <v>7200</v>
      </c>
      <c r="E268" s="93">
        <v>7200</v>
      </c>
      <c r="F268" s="93"/>
      <c r="G268" s="93">
        <f t="shared" si="21"/>
        <v>-7200</v>
      </c>
      <c r="H268" s="93">
        <v>7200</v>
      </c>
      <c r="I268" s="123"/>
    </row>
    <row r="269" spans="1:9">
      <c r="A269" s="91">
        <v>42</v>
      </c>
      <c r="B269" s="117" t="s">
        <v>603</v>
      </c>
      <c r="C269" s="93">
        <v>0</v>
      </c>
      <c r="D269" s="93">
        <f t="shared" si="20"/>
        <v>10000</v>
      </c>
      <c r="E269" s="93">
        <v>10000</v>
      </c>
      <c r="F269" s="93"/>
      <c r="G269" s="93">
        <f t="shared" si="21"/>
        <v>-10000</v>
      </c>
      <c r="H269" s="93">
        <v>10000</v>
      </c>
      <c r="I269" s="123"/>
    </row>
    <row r="270" spans="1:9">
      <c r="A270" s="91">
        <v>43</v>
      </c>
      <c r="B270" s="117" t="s">
        <v>597</v>
      </c>
      <c r="C270" s="93">
        <v>0</v>
      </c>
      <c r="D270" s="93">
        <f t="shared" si="20"/>
        <v>33600</v>
      </c>
      <c r="E270" s="93">
        <v>33600</v>
      </c>
      <c r="F270" s="93"/>
      <c r="G270" s="93">
        <f t="shared" si="21"/>
        <v>-33600</v>
      </c>
      <c r="H270" s="93">
        <f t="shared" si="23"/>
        <v>33600</v>
      </c>
      <c r="I270" s="123"/>
    </row>
    <row r="271" spans="1:9">
      <c r="A271" s="91">
        <v>44</v>
      </c>
      <c r="B271" s="117" t="s">
        <v>604</v>
      </c>
      <c r="C271" s="93">
        <v>0</v>
      </c>
      <c r="D271" s="93">
        <f t="shared" si="20"/>
        <v>1200</v>
      </c>
      <c r="E271" s="93">
        <v>1200</v>
      </c>
      <c r="F271" s="93"/>
      <c r="G271" s="93">
        <f t="shared" si="21"/>
        <v>-1200</v>
      </c>
      <c r="H271" s="93">
        <f t="shared" si="23"/>
        <v>1200</v>
      </c>
      <c r="I271" s="123"/>
    </row>
    <row r="272" spans="1:9">
      <c r="A272" s="91">
        <v>45</v>
      </c>
      <c r="B272" s="117" t="s">
        <v>605</v>
      </c>
      <c r="C272" s="93">
        <v>0</v>
      </c>
      <c r="D272" s="93">
        <f t="shared" si="20"/>
        <v>1300</v>
      </c>
      <c r="E272" s="93">
        <v>1300</v>
      </c>
      <c r="F272" s="93"/>
      <c r="G272" s="93">
        <f t="shared" si="21"/>
        <v>-1300</v>
      </c>
      <c r="H272" s="93">
        <f t="shared" si="23"/>
        <v>1300</v>
      </c>
      <c r="I272" s="123"/>
    </row>
    <row r="273" spans="1:9">
      <c r="A273" s="91">
        <v>46</v>
      </c>
      <c r="B273" s="117" t="s">
        <v>606</v>
      </c>
      <c r="C273" s="93">
        <v>0</v>
      </c>
      <c r="D273" s="93">
        <f t="shared" si="20"/>
        <v>28425</v>
      </c>
      <c r="E273" s="93">
        <v>28425</v>
      </c>
      <c r="F273" s="93"/>
      <c r="G273" s="93">
        <f t="shared" si="21"/>
        <v>-28425</v>
      </c>
      <c r="H273" s="93">
        <f t="shared" si="23"/>
        <v>28425</v>
      </c>
      <c r="I273" s="123"/>
    </row>
    <row r="274" spans="2:8">
      <c r="B274" s="7"/>
      <c r="C274" s="125"/>
      <c r="D274" s="125"/>
      <c r="E274" s="125"/>
      <c r="F274" s="125"/>
      <c r="G274" s="125"/>
      <c r="H274" s="125"/>
    </row>
    <row r="275" spans="2:8">
      <c r="B275" s="7"/>
      <c r="C275" s="125"/>
      <c r="D275" s="125"/>
      <c r="E275" s="125"/>
      <c r="F275" s="125"/>
      <c r="G275" s="125"/>
      <c r="H275" s="125"/>
    </row>
    <row r="276" spans="2:8">
      <c r="B276" s="7"/>
      <c r="C276" s="125"/>
      <c r="D276" s="125"/>
      <c r="E276" s="125"/>
      <c r="F276" s="125"/>
      <c r="G276" s="125"/>
      <c r="H276" s="125"/>
    </row>
    <row r="277" spans="2:8">
      <c r="B277" s="7"/>
      <c r="C277" s="125"/>
      <c r="D277" s="125"/>
      <c r="E277" s="125"/>
      <c r="F277" s="125"/>
      <c r="G277" s="125"/>
      <c r="H277" s="125"/>
    </row>
    <row r="278" spans="2:8">
      <c r="B278" s="7"/>
      <c r="C278" s="125"/>
      <c r="D278" s="125"/>
      <c r="E278" s="125"/>
      <c r="F278" s="125"/>
      <c r="G278" s="125"/>
      <c r="H278" s="125"/>
    </row>
    <row r="279" spans="2:8">
      <c r="B279" s="7"/>
      <c r="C279" s="125"/>
      <c r="D279" s="125"/>
      <c r="E279" s="125"/>
      <c r="F279" s="125"/>
      <c r="G279" s="125"/>
      <c r="H279" s="125"/>
    </row>
    <row r="280" spans="2:8">
      <c r="B280" s="7"/>
      <c r="C280" s="125"/>
      <c r="D280" s="125"/>
      <c r="E280" s="125"/>
      <c r="F280" s="125"/>
      <c r="G280" s="125"/>
      <c r="H280" s="125"/>
    </row>
    <row r="281" spans="2:8">
      <c r="B281" s="7"/>
      <c r="C281" s="125"/>
      <c r="D281" s="125"/>
      <c r="E281" s="125"/>
      <c r="F281" s="125"/>
      <c r="G281" s="125"/>
      <c r="H281" s="125"/>
    </row>
    <row r="282" spans="2:8">
      <c r="B282" s="7"/>
      <c r="C282" s="125"/>
      <c r="D282" s="125"/>
      <c r="E282" s="125"/>
      <c r="F282" s="125"/>
      <c r="G282" s="125"/>
      <c r="H282" s="125"/>
    </row>
  </sheetData>
  <mergeCells count="12">
    <mergeCell ref="A1:I1"/>
    <mergeCell ref="C2:G2"/>
    <mergeCell ref="D3:F3"/>
    <mergeCell ref="A3:A5"/>
    <mergeCell ref="B3:B5"/>
    <mergeCell ref="C3:C5"/>
    <mergeCell ref="D4:D5"/>
    <mergeCell ref="E4:E5"/>
    <mergeCell ref="F4:F5"/>
    <mergeCell ref="G3:G5"/>
    <mergeCell ref="H3:H5"/>
    <mergeCell ref="I3:I5"/>
  </mergeCells>
  <pageMargins left="0.700694444444445" right="0.700694444444445" top="0.751388888888889" bottom="0.751388888888889" header="0.298611111111111" footer="0.298611111111111"/>
  <pageSetup paperSize="9" scale="66" firstPageNumber="23" fitToHeight="0" orientation="landscape" useFirstPageNumber="true"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K17"/>
  <sheetViews>
    <sheetView showZeros="0" workbookViewId="0">
      <selection activeCell="N20" sqref="N20"/>
    </sheetView>
  </sheetViews>
  <sheetFormatPr defaultColWidth="9" defaultRowHeight="14.25"/>
  <cols>
    <col min="1" max="1" width="7.5" style="33" customWidth="true"/>
    <col min="2" max="2" width="15.875" style="33" customWidth="true"/>
    <col min="3" max="3" width="7.875" style="33" customWidth="true"/>
    <col min="4" max="4" width="9.25" style="33" customWidth="true"/>
    <col min="5" max="5" width="9" style="33" customWidth="true"/>
    <col min="6" max="9" width="7" style="33" customWidth="true"/>
    <col min="10" max="11" width="9.5" style="33" customWidth="true"/>
    <col min="12" max="13" width="8.625" style="33" customWidth="true"/>
    <col min="14" max="14" width="9.625" style="33" customWidth="true"/>
    <col min="15" max="15" width="7" style="33" customWidth="true"/>
    <col min="16" max="16" width="8.375" style="33" customWidth="true"/>
    <col min="17" max="17" width="8.25" style="33" customWidth="true"/>
    <col min="18" max="18" width="7.5" style="33" customWidth="true"/>
    <col min="19" max="27" width="7" style="33" customWidth="true"/>
    <col min="28" max="28" width="8.875" style="33" customWidth="true"/>
    <col min="29" max="32" width="10.625" style="33" customWidth="true"/>
    <col min="33" max="33" width="12" style="34" customWidth="true"/>
    <col min="34" max="34" width="10.375" style="35"/>
    <col min="35" max="36" width="9" style="36"/>
    <col min="37" max="16384" width="9" style="33"/>
  </cols>
  <sheetData>
    <row r="1" ht="27" spans="1:36">
      <c r="A1" s="37" t="s">
        <v>607</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ht="18.75" spans="1:36">
      <c r="A2" s="33" t="s">
        <v>1</v>
      </c>
      <c r="B2" s="38"/>
      <c r="C2" s="39"/>
      <c r="D2" s="39"/>
      <c r="E2" s="50"/>
      <c r="F2" s="51"/>
      <c r="G2" s="52" t="str">
        <f>附表1收入调整表2024!E2</f>
        <v>编制日期：2024年12月</v>
      </c>
      <c r="H2" s="52"/>
      <c r="I2" s="52"/>
      <c r="J2" s="52"/>
      <c r="K2" s="52"/>
      <c r="L2" s="52"/>
      <c r="M2" s="52"/>
      <c r="N2" s="52"/>
      <c r="O2" s="52"/>
      <c r="P2" s="52"/>
      <c r="Q2" s="52"/>
      <c r="R2" s="52"/>
      <c r="S2" s="52"/>
      <c r="T2" s="52"/>
      <c r="U2" s="52"/>
      <c r="V2" s="52"/>
      <c r="W2" s="52"/>
      <c r="X2" s="55"/>
      <c r="Y2" s="55"/>
      <c r="Z2" s="55"/>
      <c r="AA2" s="50"/>
      <c r="AB2" s="50"/>
      <c r="AC2" s="50"/>
      <c r="AD2" s="50"/>
      <c r="AE2" s="50"/>
      <c r="AF2" s="50"/>
      <c r="AG2" s="56" t="s">
        <v>3</v>
      </c>
      <c r="AH2" s="57"/>
      <c r="AI2" s="58"/>
      <c r="AJ2" s="58"/>
    </row>
    <row r="3" ht="48" customHeight="true" spans="1:36">
      <c r="A3" s="40" t="s">
        <v>412</v>
      </c>
      <c r="B3" s="40" t="s">
        <v>413</v>
      </c>
      <c r="C3" s="40" t="s">
        <v>414</v>
      </c>
      <c r="D3" s="41" t="s">
        <v>415</v>
      </c>
      <c r="E3" s="41"/>
      <c r="F3" s="40" t="s">
        <v>416</v>
      </c>
      <c r="G3" s="41" t="s">
        <v>415</v>
      </c>
      <c r="H3" s="41"/>
      <c r="I3" s="40" t="s">
        <v>608</v>
      </c>
      <c r="J3" s="41" t="s">
        <v>415</v>
      </c>
      <c r="K3" s="41"/>
      <c r="L3" s="40" t="s">
        <v>418</v>
      </c>
      <c r="M3" s="41" t="s">
        <v>415</v>
      </c>
      <c r="N3" s="41"/>
      <c r="O3" s="53" t="s">
        <v>419</v>
      </c>
      <c r="P3" s="41" t="s">
        <v>415</v>
      </c>
      <c r="Q3" s="41"/>
      <c r="R3" s="53" t="s">
        <v>609</v>
      </c>
      <c r="S3" s="41" t="s">
        <v>415</v>
      </c>
      <c r="T3" s="41"/>
      <c r="U3" s="40" t="s">
        <v>421</v>
      </c>
      <c r="V3" s="41" t="s">
        <v>415</v>
      </c>
      <c r="W3" s="41"/>
      <c r="X3" s="40" t="s">
        <v>610</v>
      </c>
      <c r="Y3" s="41" t="s">
        <v>415</v>
      </c>
      <c r="Z3" s="41"/>
      <c r="AA3" s="40" t="s">
        <v>423</v>
      </c>
      <c r="AB3" s="41" t="s">
        <v>415</v>
      </c>
      <c r="AC3" s="41"/>
      <c r="AD3" s="40" t="s">
        <v>611</v>
      </c>
      <c r="AE3" s="41" t="s">
        <v>415</v>
      </c>
      <c r="AF3" s="41"/>
      <c r="AG3" s="40" t="s">
        <v>424</v>
      </c>
      <c r="AH3" s="59" t="s">
        <v>415</v>
      </c>
      <c r="AI3" s="59"/>
      <c r="AJ3" s="60"/>
    </row>
    <row r="4" ht="48" customHeight="true" spans="1:36">
      <c r="A4" s="40"/>
      <c r="B4" s="40"/>
      <c r="C4" s="40"/>
      <c r="D4" s="42" t="s">
        <v>10</v>
      </c>
      <c r="E4" s="42" t="s">
        <v>11</v>
      </c>
      <c r="F4" s="40"/>
      <c r="G4" s="42" t="s">
        <v>10</v>
      </c>
      <c r="H4" s="42" t="s">
        <v>11</v>
      </c>
      <c r="I4" s="40"/>
      <c r="J4" s="42" t="s">
        <v>10</v>
      </c>
      <c r="K4" s="42" t="s">
        <v>11</v>
      </c>
      <c r="L4" s="40"/>
      <c r="M4" s="42" t="s">
        <v>10</v>
      </c>
      <c r="N4" s="42" t="s">
        <v>11</v>
      </c>
      <c r="O4" s="54"/>
      <c r="P4" s="42" t="s">
        <v>10</v>
      </c>
      <c r="Q4" s="42" t="s">
        <v>11</v>
      </c>
      <c r="R4" s="54"/>
      <c r="S4" s="42" t="s">
        <v>10</v>
      </c>
      <c r="T4" s="42" t="s">
        <v>11</v>
      </c>
      <c r="U4" s="40"/>
      <c r="V4" s="42" t="s">
        <v>10</v>
      </c>
      <c r="W4" s="42" t="s">
        <v>11</v>
      </c>
      <c r="X4" s="40"/>
      <c r="Y4" s="42" t="s">
        <v>10</v>
      </c>
      <c r="Z4" s="42" t="s">
        <v>11</v>
      </c>
      <c r="AA4" s="40"/>
      <c r="AB4" s="42" t="s">
        <v>10</v>
      </c>
      <c r="AC4" s="42" t="s">
        <v>11</v>
      </c>
      <c r="AD4" s="40"/>
      <c r="AE4" s="42" t="s">
        <v>10</v>
      </c>
      <c r="AF4" s="42" t="s">
        <v>11</v>
      </c>
      <c r="AG4" s="40"/>
      <c r="AH4" s="61" t="s">
        <v>10</v>
      </c>
      <c r="AI4" s="62" t="s">
        <v>11</v>
      </c>
      <c r="AJ4" s="63"/>
    </row>
    <row r="5" ht="45" customHeight="true" spans="1:36">
      <c r="A5" s="43">
        <v>206</v>
      </c>
      <c r="B5" s="44" t="s">
        <v>429</v>
      </c>
      <c r="C5" s="45">
        <f t="shared" ref="C5:C16" si="0">D5+E5</f>
        <v>0</v>
      </c>
      <c r="D5" s="45">
        <v>0</v>
      </c>
      <c r="E5" s="45">
        <v>0</v>
      </c>
      <c r="F5" s="45">
        <v>0</v>
      </c>
      <c r="G5" s="45">
        <v>0</v>
      </c>
      <c r="H5" s="45">
        <v>0</v>
      </c>
      <c r="I5" s="45">
        <f t="shared" ref="I5:I15" si="1">J5+K5</f>
        <v>0</v>
      </c>
      <c r="J5" s="45"/>
      <c r="K5" s="45">
        <v>0</v>
      </c>
      <c r="L5" s="45">
        <f t="shared" ref="L5:L15" si="2">M5+N5</f>
        <v>0</v>
      </c>
      <c r="M5" s="45">
        <v>0</v>
      </c>
      <c r="N5" s="45">
        <v>0</v>
      </c>
      <c r="O5" s="45">
        <f t="shared" ref="O5:O15" si="3">P5+Q5</f>
        <v>0</v>
      </c>
      <c r="P5" s="45">
        <v>0</v>
      </c>
      <c r="Q5" s="45">
        <v>0</v>
      </c>
      <c r="R5" s="45">
        <f t="shared" ref="R5:R15" si="4">S5+T5</f>
        <v>0</v>
      </c>
      <c r="S5" s="45">
        <v>0</v>
      </c>
      <c r="T5" s="45">
        <v>0</v>
      </c>
      <c r="U5" s="45">
        <f t="shared" ref="U5:U15" si="5">V5+W5</f>
        <v>0</v>
      </c>
      <c r="V5" s="45">
        <v>0</v>
      </c>
      <c r="W5" s="45">
        <v>0</v>
      </c>
      <c r="X5" s="45">
        <f t="shared" ref="X5:X15" si="6">Y5+Z5</f>
        <v>0</v>
      </c>
      <c r="Y5" s="45"/>
      <c r="Z5" s="45"/>
      <c r="AA5" s="45">
        <f t="shared" ref="AA5:AA15" si="7">AB5+AC5</f>
        <v>0</v>
      </c>
      <c r="AB5" s="45">
        <v>0</v>
      </c>
      <c r="AC5" s="45">
        <v>0</v>
      </c>
      <c r="AD5" s="45">
        <f t="shared" ref="AD5:AD15" si="8">AE5+AF5</f>
        <v>0</v>
      </c>
      <c r="AE5" s="45">
        <v>0</v>
      </c>
      <c r="AF5" s="45">
        <v>0</v>
      </c>
      <c r="AG5" s="64">
        <f>C5+F5+I5+L5+O5+R5+U5+AA5-AD5+X5</f>
        <v>0</v>
      </c>
      <c r="AH5" s="64">
        <f>D5+G5+J5+M5+P5+S5+V5+AB5-AE5+Y5</f>
        <v>0</v>
      </c>
      <c r="AI5" s="64">
        <f>E5+H5+K5+N5+Q5+T5+W5+AC5-AF5+Z5</f>
        <v>0</v>
      </c>
      <c r="AJ5" s="65"/>
    </row>
    <row r="6" ht="45" customHeight="true" spans="1:36">
      <c r="A6" s="43">
        <v>207</v>
      </c>
      <c r="B6" s="44" t="s">
        <v>430</v>
      </c>
      <c r="C6" s="45">
        <f t="shared" si="0"/>
        <v>0</v>
      </c>
      <c r="D6" s="45">
        <v>0</v>
      </c>
      <c r="E6" s="45">
        <v>0</v>
      </c>
      <c r="F6" s="45">
        <v>0</v>
      </c>
      <c r="G6" s="45">
        <v>0</v>
      </c>
      <c r="H6" s="45">
        <v>0</v>
      </c>
      <c r="I6" s="45">
        <f t="shared" si="1"/>
        <v>9</v>
      </c>
      <c r="J6" s="45">
        <v>9</v>
      </c>
      <c r="K6" s="45">
        <v>0</v>
      </c>
      <c r="L6" s="45">
        <f t="shared" si="2"/>
        <v>0</v>
      </c>
      <c r="M6" s="45">
        <v>0</v>
      </c>
      <c r="N6" s="45">
        <v>0</v>
      </c>
      <c r="O6" s="45">
        <f t="shared" si="3"/>
        <v>0</v>
      </c>
      <c r="P6" s="45">
        <v>0</v>
      </c>
      <c r="Q6" s="45">
        <v>0</v>
      </c>
      <c r="R6" s="45">
        <f t="shared" si="4"/>
        <v>0</v>
      </c>
      <c r="S6" s="45">
        <v>0</v>
      </c>
      <c r="T6" s="45">
        <v>0</v>
      </c>
      <c r="U6" s="45">
        <f t="shared" si="5"/>
        <v>0</v>
      </c>
      <c r="V6" s="45">
        <v>0</v>
      </c>
      <c r="W6" s="45">
        <v>0</v>
      </c>
      <c r="X6" s="45">
        <f t="shared" si="6"/>
        <v>0</v>
      </c>
      <c r="Y6" s="45"/>
      <c r="Z6" s="45"/>
      <c r="AA6" s="45">
        <f t="shared" si="7"/>
        <v>0</v>
      </c>
      <c r="AB6" s="45">
        <v>0</v>
      </c>
      <c r="AC6" s="45">
        <v>0</v>
      </c>
      <c r="AD6" s="45">
        <f t="shared" si="8"/>
        <v>0</v>
      </c>
      <c r="AE6" s="45">
        <v>0</v>
      </c>
      <c r="AF6" s="45">
        <v>0</v>
      </c>
      <c r="AG6" s="64">
        <f>C6+F6+I6+L6+O6+R6+U6+AA6-AD6+X6</f>
        <v>9</v>
      </c>
      <c r="AH6" s="64">
        <f t="shared" ref="AH6:AH16" si="9">D6+G6+J6+M6+P6+S6+V6+AB6-AE6+Y6</f>
        <v>9</v>
      </c>
      <c r="AI6" s="64">
        <f t="shared" ref="AI6:AI16" si="10">E6+H6+K6+N6+Q6+T6+W6+AC6-AF6+Z6</f>
        <v>0</v>
      </c>
      <c r="AJ6" s="65"/>
    </row>
    <row r="7" ht="45" customHeight="true" spans="1:36">
      <c r="A7" s="43">
        <v>208</v>
      </c>
      <c r="B7" s="44" t="s">
        <v>612</v>
      </c>
      <c r="C7" s="45">
        <f t="shared" si="0"/>
        <v>0</v>
      </c>
      <c r="D7" s="45">
        <v>0</v>
      </c>
      <c r="E7" s="45">
        <v>0</v>
      </c>
      <c r="F7" s="45">
        <v>0</v>
      </c>
      <c r="G7" s="45">
        <v>0</v>
      </c>
      <c r="H7" s="45">
        <v>0</v>
      </c>
      <c r="I7" s="45">
        <f t="shared" si="1"/>
        <v>1539</v>
      </c>
      <c r="J7" s="45">
        <v>1539</v>
      </c>
      <c r="K7" s="45">
        <v>0</v>
      </c>
      <c r="L7" s="45">
        <f t="shared" si="2"/>
        <v>0</v>
      </c>
      <c r="M7" s="45">
        <v>0</v>
      </c>
      <c r="N7" s="45">
        <v>0</v>
      </c>
      <c r="O7" s="45">
        <f t="shared" si="3"/>
        <v>0</v>
      </c>
      <c r="P7" s="45">
        <v>0</v>
      </c>
      <c r="Q7" s="45">
        <v>0</v>
      </c>
      <c r="R7" s="45">
        <f t="shared" si="4"/>
        <v>0</v>
      </c>
      <c r="S7" s="45">
        <v>0</v>
      </c>
      <c r="T7" s="45">
        <v>0</v>
      </c>
      <c r="U7" s="45">
        <f t="shared" si="5"/>
        <v>0</v>
      </c>
      <c r="V7" s="45">
        <v>0</v>
      </c>
      <c r="W7" s="45">
        <v>0</v>
      </c>
      <c r="X7" s="45">
        <f t="shared" si="6"/>
        <v>0</v>
      </c>
      <c r="Y7" s="45"/>
      <c r="Z7" s="45"/>
      <c r="AA7" s="45">
        <f t="shared" si="7"/>
        <v>0</v>
      </c>
      <c r="AB7" s="45">
        <v>0</v>
      </c>
      <c r="AC7" s="45">
        <v>0</v>
      </c>
      <c r="AD7" s="45">
        <f t="shared" si="8"/>
        <v>0</v>
      </c>
      <c r="AE7" s="45">
        <v>0</v>
      </c>
      <c r="AF7" s="45">
        <v>0</v>
      </c>
      <c r="AG7" s="64">
        <f>C7+F7+I7+L7+O7+R7+U7+AA7-AD7+X7</f>
        <v>1539</v>
      </c>
      <c r="AH7" s="64">
        <f t="shared" si="9"/>
        <v>1539</v>
      </c>
      <c r="AI7" s="64">
        <f t="shared" si="10"/>
        <v>0</v>
      </c>
      <c r="AJ7" s="65"/>
    </row>
    <row r="8" ht="45" customHeight="true" spans="1:36">
      <c r="A8" s="43">
        <v>211</v>
      </c>
      <c r="B8" s="44" t="s">
        <v>433</v>
      </c>
      <c r="C8" s="45">
        <f t="shared" si="0"/>
        <v>0</v>
      </c>
      <c r="D8" s="45">
        <v>0</v>
      </c>
      <c r="E8" s="45">
        <v>0</v>
      </c>
      <c r="F8" s="45">
        <v>0</v>
      </c>
      <c r="G8" s="45">
        <v>0</v>
      </c>
      <c r="H8" s="45">
        <v>0</v>
      </c>
      <c r="I8" s="45">
        <f t="shared" si="1"/>
        <v>0</v>
      </c>
      <c r="J8" s="45"/>
      <c r="K8" s="45">
        <v>0</v>
      </c>
      <c r="L8" s="45">
        <f t="shared" si="2"/>
        <v>0</v>
      </c>
      <c r="M8" s="45">
        <v>0</v>
      </c>
      <c r="N8" s="45">
        <v>0</v>
      </c>
      <c r="O8" s="45">
        <f t="shared" si="3"/>
        <v>0</v>
      </c>
      <c r="P8" s="45">
        <v>0</v>
      </c>
      <c r="Q8" s="45">
        <v>0</v>
      </c>
      <c r="R8" s="45">
        <f t="shared" si="4"/>
        <v>0</v>
      </c>
      <c r="S8" s="45">
        <v>0</v>
      </c>
      <c r="T8" s="45">
        <v>0</v>
      </c>
      <c r="U8" s="45">
        <f t="shared" si="5"/>
        <v>0</v>
      </c>
      <c r="V8" s="45">
        <v>0</v>
      </c>
      <c r="W8" s="45">
        <v>0</v>
      </c>
      <c r="X8" s="45">
        <f t="shared" si="6"/>
        <v>0</v>
      </c>
      <c r="Y8" s="45"/>
      <c r="Z8" s="45"/>
      <c r="AA8" s="45">
        <f t="shared" si="7"/>
        <v>0</v>
      </c>
      <c r="AB8" s="45">
        <v>0</v>
      </c>
      <c r="AC8" s="45">
        <v>0</v>
      </c>
      <c r="AD8" s="45">
        <f t="shared" si="8"/>
        <v>0</v>
      </c>
      <c r="AE8" s="45">
        <v>0</v>
      </c>
      <c r="AF8" s="45">
        <v>0</v>
      </c>
      <c r="AG8" s="64">
        <f>C8+F8+I8+L8+O8+R8+U8+AA8-AD8+X8</f>
        <v>0</v>
      </c>
      <c r="AH8" s="64">
        <f t="shared" si="9"/>
        <v>0</v>
      </c>
      <c r="AI8" s="64">
        <f t="shared" si="10"/>
        <v>0</v>
      </c>
      <c r="AJ8" s="65"/>
    </row>
    <row r="9" ht="45" customHeight="true" spans="1:36">
      <c r="A9" s="43">
        <v>212</v>
      </c>
      <c r="B9" s="44" t="s">
        <v>434</v>
      </c>
      <c r="C9" s="45">
        <f t="shared" si="0"/>
        <v>526950</v>
      </c>
      <c r="D9" s="45">
        <v>421250</v>
      </c>
      <c r="E9" s="45">
        <v>105700</v>
      </c>
      <c r="F9" s="45">
        <v>0</v>
      </c>
      <c r="G9" s="45">
        <v>0</v>
      </c>
      <c r="H9" s="45">
        <v>0</v>
      </c>
      <c r="I9" s="45">
        <f t="shared" si="1"/>
        <v>21174</v>
      </c>
      <c r="J9" s="45">
        <v>21174</v>
      </c>
      <c r="K9" s="45"/>
      <c r="L9" s="45">
        <f t="shared" si="2"/>
        <v>-325408</v>
      </c>
      <c r="M9" s="45">
        <f>45000-411710-1000-1500+2236+66</f>
        <v>-366908</v>
      </c>
      <c r="N9" s="45">
        <v>41500</v>
      </c>
      <c r="O9" s="45">
        <f t="shared" si="3"/>
        <v>0</v>
      </c>
      <c r="P9" s="45">
        <v>0</v>
      </c>
      <c r="Q9" s="45">
        <v>0</v>
      </c>
      <c r="R9" s="45">
        <f t="shared" si="4"/>
        <v>-10630</v>
      </c>
      <c r="S9" s="45">
        <v>0</v>
      </c>
      <c r="T9" s="45">
        <v>-10630</v>
      </c>
      <c r="U9" s="45">
        <f t="shared" si="5"/>
        <v>0</v>
      </c>
      <c r="V9" s="45"/>
      <c r="W9" s="45"/>
      <c r="X9" s="45">
        <f t="shared" si="6"/>
        <v>8000</v>
      </c>
      <c r="Y9" s="45">
        <v>8000</v>
      </c>
      <c r="Z9" s="45"/>
      <c r="AA9" s="45">
        <f t="shared" si="7"/>
        <v>3372</v>
      </c>
      <c r="AB9" s="45"/>
      <c r="AC9" s="45">
        <v>3372</v>
      </c>
      <c r="AD9" s="45">
        <f t="shared" si="8"/>
        <v>489</v>
      </c>
      <c r="AE9" s="45">
        <v>489</v>
      </c>
      <c r="AF9" s="45">
        <v>0</v>
      </c>
      <c r="AG9" s="64">
        <f>C9+F9+I9+L9+O9+R9+U9+AA9-AD9+X9</f>
        <v>222969</v>
      </c>
      <c r="AH9" s="64">
        <f t="shared" si="9"/>
        <v>83027</v>
      </c>
      <c r="AI9" s="64">
        <f t="shared" si="10"/>
        <v>139942</v>
      </c>
      <c r="AJ9" s="65"/>
    </row>
    <row r="10" ht="45" customHeight="true" spans="1:36">
      <c r="A10" s="43">
        <v>213</v>
      </c>
      <c r="B10" s="44" t="s">
        <v>435</v>
      </c>
      <c r="C10" s="45">
        <f t="shared" si="0"/>
        <v>0</v>
      </c>
      <c r="D10" s="45">
        <v>0</v>
      </c>
      <c r="E10" s="45">
        <v>0</v>
      </c>
      <c r="F10" s="45">
        <v>0</v>
      </c>
      <c r="G10" s="45">
        <v>0</v>
      </c>
      <c r="H10" s="45">
        <v>0</v>
      </c>
      <c r="I10" s="45">
        <f t="shared" si="1"/>
        <v>0</v>
      </c>
      <c r="J10" s="45">
        <v>0</v>
      </c>
      <c r="K10" s="45">
        <v>0</v>
      </c>
      <c r="L10" s="45">
        <f t="shared" si="2"/>
        <v>0</v>
      </c>
      <c r="M10" s="45">
        <v>0</v>
      </c>
      <c r="N10" s="45">
        <v>0</v>
      </c>
      <c r="O10" s="45">
        <f t="shared" si="3"/>
        <v>0</v>
      </c>
      <c r="P10" s="45">
        <v>0</v>
      </c>
      <c r="Q10" s="45">
        <v>0</v>
      </c>
      <c r="R10" s="45">
        <f t="shared" si="4"/>
        <v>0</v>
      </c>
      <c r="S10" s="45">
        <v>0</v>
      </c>
      <c r="T10" s="45">
        <v>0</v>
      </c>
      <c r="U10" s="45">
        <f t="shared" si="5"/>
        <v>0</v>
      </c>
      <c r="V10" s="45">
        <v>0</v>
      </c>
      <c r="W10" s="45">
        <v>0</v>
      </c>
      <c r="X10" s="45">
        <f t="shared" si="6"/>
        <v>0</v>
      </c>
      <c r="Y10" s="45"/>
      <c r="Z10" s="45"/>
      <c r="AA10" s="45">
        <f t="shared" si="7"/>
        <v>0</v>
      </c>
      <c r="AB10" s="45">
        <v>0</v>
      </c>
      <c r="AC10" s="45">
        <v>0</v>
      </c>
      <c r="AD10" s="45">
        <f t="shared" si="8"/>
        <v>0</v>
      </c>
      <c r="AE10" s="45">
        <v>0</v>
      </c>
      <c r="AF10" s="45">
        <v>0</v>
      </c>
      <c r="AG10" s="64">
        <f t="shared" ref="AG10:AG16" si="11">C10+F10+I10+L10+O10+R10+U10+AA10-AD10+X10</f>
        <v>0</v>
      </c>
      <c r="AH10" s="64">
        <f t="shared" si="9"/>
        <v>0</v>
      </c>
      <c r="AI10" s="64">
        <f t="shared" si="10"/>
        <v>0</v>
      </c>
      <c r="AJ10" s="65"/>
    </row>
    <row r="11" ht="45" customHeight="true" spans="1:36">
      <c r="A11" s="43">
        <v>214</v>
      </c>
      <c r="B11" s="44" t="s">
        <v>436</v>
      </c>
      <c r="C11" s="45">
        <f t="shared" si="0"/>
        <v>0</v>
      </c>
      <c r="D11" s="45">
        <v>0</v>
      </c>
      <c r="E11" s="45">
        <v>0</v>
      </c>
      <c r="F11" s="45">
        <v>0</v>
      </c>
      <c r="G11" s="45">
        <v>0</v>
      </c>
      <c r="H11" s="45">
        <v>0</v>
      </c>
      <c r="I11" s="45">
        <f t="shared" si="1"/>
        <v>0</v>
      </c>
      <c r="J11" s="45">
        <v>0</v>
      </c>
      <c r="K11" s="45">
        <v>0</v>
      </c>
      <c r="L11" s="45">
        <f t="shared" si="2"/>
        <v>0</v>
      </c>
      <c r="M11" s="45">
        <v>0</v>
      </c>
      <c r="N11" s="45">
        <v>0</v>
      </c>
      <c r="O11" s="45">
        <f t="shared" si="3"/>
        <v>0</v>
      </c>
      <c r="P11" s="45">
        <v>0</v>
      </c>
      <c r="Q11" s="45">
        <v>0</v>
      </c>
      <c r="R11" s="45">
        <f t="shared" si="4"/>
        <v>0</v>
      </c>
      <c r="S11" s="45">
        <v>0</v>
      </c>
      <c r="T11" s="45">
        <v>0</v>
      </c>
      <c r="U11" s="45">
        <f t="shared" si="5"/>
        <v>0</v>
      </c>
      <c r="V11" s="45">
        <v>0</v>
      </c>
      <c r="W11" s="45">
        <v>0</v>
      </c>
      <c r="X11" s="45">
        <f t="shared" si="6"/>
        <v>0</v>
      </c>
      <c r="Y11" s="45"/>
      <c r="Z11" s="45"/>
      <c r="AA11" s="45">
        <f t="shared" si="7"/>
        <v>0</v>
      </c>
      <c r="AB11" s="45">
        <v>0</v>
      </c>
      <c r="AC11" s="45">
        <v>0</v>
      </c>
      <c r="AD11" s="45">
        <f t="shared" si="8"/>
        <v>0</v>
      </c>
      <c r="AE11" s="45">
        <v>0</v>
      </c>
      <c r="AF11" s="45">
        <v>0</v>
      </c>
      <c r="AG11" s="64">
        <f t="shared" si="11"/>
        <v>0</v>
      </c>
      <c r="AH11" s="64">
        <f t="shared" si="9"/>
        <v>0</v>
      </c>
      <c r="AI11" s="64">
        <f t="shared" si="10"/>
        <v>0</v>
      </c>
      <c r="AJ11" s="65"/>
    </row>
    <row r="12" ht="45" customHeight="true" spans="1:36">
      <c r="A12" s="43">
        <v>215</v>
      </c>
      <c r="B12" s="44" t="s">
        <v>613</v>
      </c>
      <c r="C12" s="45">
        <f t="shared" si="0"/>
        <v>0</v>
      </c>
      <c r="D12" s="45">
        <v>0</v>
      </c>
      <c r="E12" s="45">
        <v>0</v>
      </c>
      <c r="F12" s="45">
        <v>0</v>
      </c>
      <c r="G12" s="45">
        <v>0</v>
      </c>
      <c r="H12" s="45">
        <v>0</v>
      </c>
      <c r="I12" s="45">
        <f t="shared" si="1"/>
        <v>0</v>
      </c>
      <c r="J12" s="45">
        <v>0</v>
      </c>
      <c r="K12" s="45">
        <v>0</v>
      </c>
      <c r="L12" s="45">
        <f t="shared" si="2"/>
        <v>0</v>
      </c>
      <c r="M12" s="45">
        <v>0</v>
      </c>
      <c r="N12" s="45">
        <v>0</v>
      </c>
      <c r="O12" s="45">
        <f t="shared" si="3"/>
        <v>0</v>
      </c>
      <c r="P12" s="45">
        <v>0</v>
      </c>
      <c r="Q12" s="45">
        <v>0</v>
      </c>
      <c r="R12" s="45">
        <f t="shared" si="4"/>
        <v>0</v>
      </c>
      <c r="S12" s="45">
        <v>0</v>
      </c>
      <c r="T12" s="45">
        <v>0</v>
      </c>
      <c r="U12" s="45">
        <f t="shared" si="5"/>
        <v>0</v>
      </c>
      <c r="V12" s="45">
        <v>0</v>
      </c>
      <c r="W12" s="45">
        <v>0</v>
      </c>
      <c r="X12" s="45">
        <f t="shared" si="6"/>
        <v>5036.6</v>
      </c>
      <c r="Y12" s="45">
        <v>5036.6</v>
      </c>
      <c r="Z12" s="45"/>
      <c r="AA12" s="45">
        <f t="shared" si="7"/>
        <v>0</v>
      </c>
      <c r="AB12" s="45">
        <v>0</v>
      </c>
      <c r="AC12" s="45">
        <v>0</v>
      </c>
      <c r="AD12" s="45">
        <f t="shared" si="8"/>
        <v>0</v>
      </c>
      <c r="AE12" s="45">
        <v>0</v>
      </c>
      <c r="AF12" s="45">
        <v>0</v>
      </c>
      <c r="AG12" s="64">
        <f t="shared" si="11"/>
        <v>5036.6</v>
      </c>
      <c r="AH12" s="64">
        <f t="shared" si="9"/>
        <v>5036.6</v>
      </c>
      <c r="AI12" s="64">
        <f t="shared" si="10"/>
        <v>0</v>
      </c>
      <c r="AJ12" s="65"/>
    </row>
    <row r="13" ht="45" customHeight="true" spans="1:37">
      <c r="A13" s="43">
        <v>229</v>
      </c>
      <c r="B13" s="46" t="s">
        <v>446</v>
      </c>
      <c r="C13" s="45">
        <f t="shared" si="0"/>
        <v>2517</v>
      </c>
      <c r="D13" s="45">
        <v>2517</v>
      </c>
      <c r="E13" s="45"/>
      <c r="F13" s="45">
        <v>0</v>
      </c>
      <c r="G13" s="45">
        <v>0</v>
      </c>
      <c r="H13" s="45">
        <v>0</v>
      </c>
      <c r="I13" s="45">
        <f t="shared" si="1"/>
        <v>114514</v>
      </c>
      <c r="J13" s="45">
        <f>1843+109128-43900</f>
        <v>67071</v>
      </c>
      <c r="K13" s="45">
        <v>47443</v>
      </c>
      <c r="L13" s="45">
        <f t="shared" si="2"/>
        <v>0</v>
      </c>
      <c r="M13" s="45"/>
      <c r="N13" s="45">
        <v>0</v>
      </c>
      <c r="O13" s="45">
        <f t="shared" si="3"/>
        <v>0</v>
      </c>
      <c r="P13" s="45"/>
      <c r="Q13" s="45">
        <v>0</v>
      </c>
      <c r="R13" s="45">
        <f t="shared" si="4"/>
        <v>0</v>
      </c>
      <c r="S13" s="45">
        <v>0</v>
      </c>
      <c r="T13" s="45">
        <v>0</v>
      </c>
      <c r="U13" s="45">
        <f t="shared" si="5"/>
        <v>557628</v>
      </c>
      <c r="V13" s="45">
        <f>401223+25400-8000</f>
        <v>418623</v>
      </c>
      <c r="W13" s="45">
        <v>139005</v>
      </c>
      <c r="X13" s="45">
        <f t="shared" si="6"/>
        <v>27480</v>
      </c>
      <c r="Y13" s="45">
        <v>27480</v>
      </c>
      <c r="Z13" s="45"/>
      <c r="AA13" s="45">
        <f t="shared" si="7"/>
        <v>0</v>
      </c>
      <c r="AB13" s="45">
        <v>0</v>
      </c>
      <c r="AC13" s="45"/>
      <c r="AD13" s="45">
        <f t="shared" si="8"/>
        <v>0</v>
      </c>
      <c r="AE13" s="45">
        <v>0</v>
      </c>
      <c r="AF13" s="45">
        <v>0</v>
      </c>
      <c r="AG13" s="64">
        <f t="shared" si="11"/>
        <v>702139</v>
      </c>
      <c r="AH13" s="64">
        <f t="shared" si="9"/>
        <v>515691</v>
      </c>
      <c r="AI13" s="64">
        <f t="shared" si="10"/>
        <v>186448</v>
      </c>
      <c r="AJ13" s="7"/>
      <c r="AK13" s="7"/>
    </row>
    <row r="14" ht="45" customHeight="true" spans="1:36">
      <c r="A14" s="43">
        <v>232</v>
      </c>
      <c r="B14" s="47" t="s">
        <v>614</v>
      </c>
      <c r="C14" s="45">
        <f t="shared" si="0"/>
        <v>40000</v>
      </c>
      <c r="D14" s="45">
        <v>26000</v>
      </c>
      <c r="E14" s="45">
        <v>14000</v>
      </c>
      <c r="F14" s="45">
        <v>0</v>
      </c>
      <c r="G14" s="45">
        <v>0</v>
      </c>
      <c r="H14" s="45">
        <v>0</v>
      </c>
      <c r="I14" s="45">
        <f t="shared" si="1"/>
        <v>0</v>
      </c>
      <c r="J14" s="45">
        <v>0</v>
      </c>
      <c r="K14" s="45">
        <v>0</v>
      </c>
      <c r="L14" s="45">
        <f t="shared" si="2"/>
        <v>-36966</v>
      </c>
      <c r="M14" s="45">
        <f>74-23040</f>
        <v>-22966</v>
      </c>
      <c r="N14" s="45">
        <v>-14000</v>
      </c>
      <c r="O14" s="45">
        <f t="shared" si="3"/>
        <v>31535</v>
      </c>
      <c r="P14" s="45">
        <f>20463-74</f>
        <v>20389</v>
      </c>
      <c r="Q14" s="45">
        <v>11146</v>
      </c>
      <c r="R14" s="45">
        <f t="shared" si="4"/>
        <v>0</v>
      </c>
      <c r="S14" s="45">
        <v>0</v>
      </c>
      <c r="T14" s="45">
        <v>0</v>
      </c>
      <c r="U14" s="45">
        <f t="shared" si="5"/>
        <v>0</v>
      </c>
      <c r="V14" s="45">
        <v>0</v>
      </c>
      <c r="W14" s="45">
        <v>0</v>
      </c>
      <c r="X14" s="45">
        <f t="shared" si="6"/>
        <v>0</v>
      </c>
      <c r="Y14" s="45"/>
      <c r="Z14" s="45"/>
      <c r="AA14" s="45">
        <f t="shared" si="7"/>
        <v>-3372</v>
      </c>
      <c r="AB14" s="45"/>
      <c r="AC14" s="45">
        <v>-3372</v>
      </c>
      <c r="AD14" s="45">
        <f t="shared" si="8"/>
        <v>0</v>
      </c>
      <c r="AE14" s="45">
        <v>0</v>
      </c>
      <c r="AF14" s="45">
        <v>0</v>
      </c>
      <c r="AG14" s="64">
        <f t="shared" si="11"/>
        <v>31197</v>
      </c>
      <c r="AH14" s="64">
        <f t="shared" si="9"/>
        <v>23423</v>
      </c>
      <c r="AI14" s="64">
        <f t="shared" si="10"/>
        <v>7774</v>
      </c>
      <c r="AJ14" s="65"/>
    </row>
    <row r="15" ht="45" customHeight="true" spans="1:36">
      <c r="A15" s="43">
        <v>233</v>
      </c>
      <c r="B15" s="44" t="s">
        <v>615</v>
      </c>
      <c r="C15" s="45">
        <f t="shared" si="0"/>
        <v>550</v>
      </c>
      <c r="D15" s="45">
        <v>250</v>
      </c>
      <c r="E15" s="45">
        <v>300</v>
      </c>
      <c r="F15" s="45">
        <v>0</v>
      </c>
      <c r="G15" s="45">
        <v>0</v>
      </c>
      <c r="H15" s="45">
        <v>0</v>
      </c>
      <c r="I15" s="45">
        <f t="shared" si="1"/>
        <v>0</v>
      </c>
      <c r="J15" s="45">
        <v>0</v>
      </c>
      <c r="K15" s="45">
        <v>0</v>
      </c>
      <c r="L15" s="45">
        <f t="shared" si="2"/>
        <v>-250</v>
      </c>
      <c r="M15" s="45">
        <v>-250</v>
      </c>
      <c r="N15" s="45">
        <v>0</v>
      </c>
      <c r="O15" s="45">
        <f t="shared" si="3"/>
        <v>259</v>
      </c>
      <c r="P15" s="45">
        <v>259</v>
      </c>
      <c r="Q15" s="45">
        <v>0</v>
      </c>
      <c r="R15" s="45">
        <f t="shared" si="4"/>
        <v>0</v>
      </c>
      <c r="S15" s="45">
        <v>0</v>
      </c>
      <c r="T15" s="45">
        <v>0</v>
      </c>
      <c r="U15" s="45">
        <f t="shared" si="5"/>
        <v>0</v>
      </c>
      <c r="V15" s="45">
        <v>0</v>
      </c>
      <c r="W15" s="45">
        <v>0</v>
      </c>
      <c r="X15" s="45">
        <f t="shared" si="6"/>
        <v>0</v>
      </c>
      <c r="Y15" s="45"/>
      <c r="Z15" s="45"/>
      <c r="AA15" s="45">
        <f t="shared" si="7"/>
        <v>0</v>
      </c>
      <c r="AB15" s="45"/>
      <c r="AC15" s="45"/>
      <c r="AD15" s="45">
        <f t="shared" si="8"/>
        <v>0</v>
      </c>
      <c r="AE15" s="45">
        <v>0</v>
      </c>
      <c r="AF15" s="45">
        <v>0</v>
      </c>
      <c r="AG15" s="64">
        <f t="shared" si="11"/>
        <v>559</v>
      </c>
      <c r="AH15" s="64">
        <f t="shared" si="9"/>
        <v>259</v>
      </c>
      <c r="AI15" s="64">
        <f t="shared" si="10"/>
        <v>300</v>
      </c>
      <c r="AJ15" s="65"/>
    </row>
    <row r="16" ht="37.5" customHeight="true" spans="1:36">
      <c r="A16" s="48"/>
      <c r="B16" s="49" t="s">
        <v>167</v>
      </c>
      <c r="C16" s="45">
        <f t="shared" si="0"/>
        <v>570017</v>
      </c>
      <c r="D16" s="45">
        <f t="shared" ref="D16:AF16" si="12">SUM(D5:D15)</f>
        <v>450017</v>
      </c>
      <c r="E16" s="45">
        <f t="shared" si="12"/>
        <v>120000</v>
      </c>
      <c r="F16" s="45">
        <f t="shared" si="12"/>
        <v>0</v>
      </c>
      <c r="G16" s="45">
        <f t="shared" si="12"/>
        <v>0</v>
      </c>
      <c r="H16" s="45">
        <f t="shared" si="12"/>
        <v>0</v>
      </c>
      <c r="I16" s="45">
        <f t="shared" si="12"/>
        <v>137236</v>
      </c>
      <c r="J16" s="45">
        <f t="shared" si="12"/>
        <v>89793</v>
      </c>
      <c r="K16" s="45">
        <f t="shared" si="12"/>
        <v>47443</v>
      </c>
      <c r="L16" s="45">
        <f t="shared" si="12"/>
        <v>-362624</v>
      </c>
      <c r="M16" s="45">
        <f t="shared" si="12"/>
        <v>-390124</v>
      </c>
      <c r="N16" s="45">
        <f t="shared" si="12"/>
        <v>27500</v>
      </c>
      <c r="O16" s="45">
        <f t="shared" si="12"/>
        <v>31794</v>
      </c>
      <c r="P16" s="45">
        <f t="shared" si="12"/>
        <v>20648</v>
      </c>
      <c r="Q16" s="45">
        <f t="shared" si="12"/>
        <v>11146</v>
      </c>
      <c r="R16" s="45">
        <f t="shared" si="12"/>
        <v>-10630</v>
      </c>
      <c r="S16" s="45">
        <f t="shared" si="12"/>
        <v>0</v>
      </c>
      <c r="T16" s="45">
        <f t="shared" si="12"/>
        <v>-10630</v>
      </c>
      <c r="U16" s="45">
        <f t="shared" si="12"/>
        <v>557628</v>
      </c>
      <c r="V16" s="45">
        <f t="shared" si="12"/>
        <v>418623</v>
      </c>
      <c r="W16" s="45">
        <f t="shared" si="12"/>
        <v>139005</v>
      </c>
      <c r="X16" s="45">
        <f t="shared" si="12"/>
        <v>40516.6</v>
      </c>
      <c r="Y16" s="45">
        <f t="shared" si="12"/>
        <v>40516.6</v>
      </c>
      <c r="Z16" s="45">
        <f t="shared" si="12"/>
        <v>0</v>
      </c>
      <c r="AA16" s="45">
        <f t="shared" si="12"/>
        <v>0</v>
      </c>
      <c r="AB16" s="45">
        <f t="shared" si="12"/>
        <v>0</v>
      </c>
      <c r="AC16" s="45">
        <f t="shared" si="12"/>
        <v>0</v>
      </c>
      <c r="AD16" s="45">
        <f t="shared" si="12"/>
        <v>489</v>
      </c>
      <c r="AE16" s="45">
        <f t="shared" si="12"/>
        <v>489</v>
      </c>
      <c r="AF16" s="45">
        <f t="shared" si="12"/>
        <v>0</v>
      </c>
      <c r="AG16" s="64">
        <f t="shared" si="11"/>
        <v>963448.6</v>
      </c>
      <c r="AH16" s="64">
        <f t="shared" si="9"/>
        <v>628984.6</v>
      </c>
      <c r="AI16" s="64">
        <f t="shared" si="10"/>
        <v>334464</v>
      </c>
      <c r="AJ16" s="65"/>
    </row>
    <row r="17" spans="33:35">
      <c r="AG17" s="35"/>
      <c r="AH17" s="35"/>
      <c r="AI17" s="35"/>
    </row>
  </sheetData>
  <mergeCells count="26">
    <mergeCell ref="A1:AI1"/>
    <mergeCell ref="G2:W2"/>
    <mergeCell ref="D3:E3"/>
    <mergeCell ref="G3:H3"/>
    <mergeCell ref="J3:K3"/>
    <mergeCell ref="M3:N3"/>
    <mergeCell ref="P3:Q3"/>
    <mergeCell ref="S3:T3"/>
    <mergeCell ref="V3:W3"/>
    <mergeCell ref="Y3:Z3"/>
    <mergeCell ref="AB3:AC3"/>
    <mergeCell ref="AE3:AF3"/>
    <mergeCell ref="AH3:AI3"/>
    <mergeCell ref="A3:A4"/>
    <mergeCell ref="B3:B4"/>
    <mergeCell ref="C3:C4"/>
    <mergeCell ref="F3:F4"/>
    <mergeCell ref="I3:I4"/>
    <mergeCell ref="L3:L4"/>
    <mergeCell ref="O3:O4"/>
    <mergeCell ref="R3:R4"/>
    <mergeCell ref="U3:U4"/>
    <mergeCell ref="X3:X4"/>
    <mergeCell ref="AA3:AA4"/>
    <mergeCell ref="AD3:AD4"/>
    <mergeCell ref="AG3:AG4"/>
  </mergeCells>
  <pageMargins left="0.700694444444445" right="0.700694444444445" top="0.751388888888889" bottom="0.751388888888889" header="0.298611111111111" footer="0.298611111111111"/>
  <pageSetup paperSize="9" scale="44" firstPageNumber="28" orientation="landscape" useFirstPageNumber="true"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91"/>
  <sheetViews>
    <sheetView workbookViewId="0">
      <selection activeCell="G6" sqref="G6"/>
    </sheetView>
  </sheetViews>
  <sheetFormatPr defaultColWidth="9" defaultRowHeight="18"/>
  <cols>
    <col min="1" max="1" width="7.5" style="6" customWidth="true"/>
    <col min="2" max="2" width="43.375" style="1" customWidth="true"/>
    <col min="3" max="3" width="60.375" style="1" customWidth="true"/>
    <col min="4" max="4" width="19.75" style="6" customWidth="true"/>
    <col min="5" max="16377" width="9" style="1"/>
    <col min="16378" max="16384" width="9" style="7"/>
  </cols>
  <sheetData>
    <row r="1" s="1" customFormat="true" ht="36.95" customHeight="true" spans="1:4">
      <c r="A1" s="8" t="s">
        <v>616</v>
      </c>
      <c r="B1" s="8"/>
      <c r="C1" s="8"/>
      <c r="D1" s="8"/>
    </row>
    <row r="2" s="1" customFormat="true" customHeight="true" spans="1:4">
      <c r="A2" s="9" t="s">
        <v>1</v>
      </c>
      <c r="B2" s="9"/>
      <c r="C2" s="9" t="str">
        <f>附表1收入调整表2024!E2</f>
        <v>编制日期：2024年12月</v>
      </c>
      <c r="D2" s="6" t="s">
        <v>3</v>
      </c>
    </row>
    <row r="3" s="2" customFormat="true" ht="36" customHeight="true" spans="1:16381">
      <c r="A3" s="10" t="s">
        <v>617</v>
      </c>
      <c r="B3" s="10" t="s">
        <v>618</v>
      </c>
      <c r="C3" s="10" t="s">
        <v>619</v>
      </c>
      <c r="D3" s="11" t="s">
        <v>620</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2"/>
      <c r="XEY3" s="22"/>
      <c r="XEZ3" s="22"/>
      <c r="XFA3" s="22"/>
    </row>
    <row r="4" s="1" customFormat="true" ht="20.1" customHeight="true" spans="1:4">
      <c r="A4" s="12">
        <v>1</v>
      </c>
      <c r="B4" s="13" t="s">
        <v>621</v>
      </c>
      <c r="C4" s="13" t="s">
        <v>319</v>
      </c>
      <c r="D4" s="14">
        <v>500</v>
      </c>
    </row>
    <row r="5" s="1" customFormat="true" ht="20.1" customHeight="true" spans="1:4">
      <c r="A5" s="12">
        <v>2</v>
      </c>
      <c r="B5" s="13" t="s">
        <v>622</v>
      </c>
      <c r="C5" s="13" t="s">
        <v>329</v>
      </c>
      <c r="D5" s="14">
        <v>1000</v>
      </c>
    </row>
    <row r="6" s="1" customFormat="true" ht="20.1" customHeight="true" spans="1:4">
      <c r="A6" s="12">
        <v>3</v>
      </c>
      <c r="B6" s="13" t="s">
        <v>623</v>
      </c>
      <c r="C6" s="13" t="s">
        <v>346</v>
      </c>
      <c r="D6" s="14">
        <v>1000</v>
      </c>
    </row>
    <row r="7" s="1" customFormat="true" ht="20.1" customHeight="true" spans="1:4">
      <c r="A7" s="12">
        <v>4</v>
      </c>
      <c r="B7" s="13" t="s">
        <v>624</v>
      </c>
      <c r="C7" s="13" t="s">
        <v>338</v>
      </c>
      <c r="D7" s="14">
        <v>2000</v>
      </c>
    </row>
    <row r="8" s="1" customFormat="true" ht="20.1" customHeight="true" spans="1:4">
      <c r="A8" s="12">
        <v>5</v>
      </c>
      <c r="B8" s="13" t="s">
        <v>622</v>
      </c>
      <c r="C8" s="13" t="s">
        <v>358</v>
      </c>
      <c r="D8" s="14">
        <v>500</v>
      </c>
    </row>
    <row r="9" s="1" customFormat="true" ht="20.1" customHeight="true" spans="1:4">
      <c r="A9" s="12">
        <v>6</v>
      </c>
      <c r="B9" s="13" t="s">
        <v>621</v>
      </c>
      <c r="C9" s="13" t="s">
        <v>318</v>
      </c>
      <c r="D9" s="14">
        <v>1800</v>
      </c>
    </row>
    <row r="10" s="1" customFormat="true" ht="20.1" customHeight="true" spans="1:4">
      <c r="A10" s="12">
        <v>7</v>
      </c>
      <c r="B10" s="13" t="s">
        <v>622</v>
      </c>
      <c r="C10" s="13" t="s">
        <v>352</v>
      </c>
      <c r="D10" s="14">
        <v>1000</v>
      </c>
    </row>
    <row r="11" s="1" customFormat="true" ht="20.1" customHeight="true" spans="1:4">
      <c r="A11" s="12">
        <v>8</v>
      </c>
      <c r="B11" s="13" t="s">
        <v>622</v>
      </c>
      <c r="C11" s="13" t="s">
        <v>331</v>
      </c>
      <c r="D11" s="14">
        <v>1000</v>
      </c>
    </row>
    <row r="12" s="1" customFormat="true" ht="20.1" customHeight="true" spans="1:4">
      <c r="A12" s="12">
        <v>9</v>
      </c>
      <c r="B12" s="13" t="s">
        <v>622</v>
      </c>
      <c r="C12" s="13" t="s">
        <v>348</v>
      </c>
      <c r="D12" s="14">
        <v>1500</v>
      </c>
    </row>
    <row r="13" s="1" customFormat="true" ht="20.1" customHeight="true" spans="1:4">
      <c r="A13" s="12">
        <v>10</v>
      </c>
      <c r="B13" s="13" t="s">
        <v>621</v>
      </c>
      <c r="C13" s="13" t="s">
        <v>333</v>
      </c>
      <c r="D13" s="14">
        <v>500</v>
      </c>
    </row>
    <row r="14" s="1" customFormat="true" ht="20.1" customHeight="true" spans="1:4">
      <c r="A14" s="12">
        <v>11</v>
      </c>
      <c r="B14" s="13" t="s">
        <v>622</v>
      </c>
      <c r="C14" s="13" t="s">
        <v>330</v>
      </c>
      <c r="D14" s="14">
        <v>516</v>
      </c>
    </row>
    <row r="15" s="1" customFormat="true" ht="20.1" customHeight="true" spans="1:4">
      <c r="A15" s="12">
        <v>12</v>
      </c>
      <c r="B15" s="13" t="s">
        <v>623</v>
      </c>
      <c r="C15" s="13" t="s">
        <v>336</v>
      </c>
      <c r="D15" s="14">
        <v>3000</v>
      </c>
    </row>
    <row r="16" s="1" customFormat="true" ht="20.1" customHeight="true" spans="1:4">
      <c r="A16" s="12">
        <v>13</v>
      </c>
      <c r="B16" s="13" t="s">
        <v>622</v>
      </c>
      <c r="C16" s="13" t="s">
        <v>326</v>
      </c>
      <c r="D16" s="14">
        <v>1000</v>
      </c>
    </row>
    <row r="17" s="1" customFormat="true" ht="20.1" customHeight="true" spans="1:4">
      <c r="A17" s="12">
        <v>14</v>
      </c>
      <c r="B17" s="13" t="s">
        <v>624</v>
      </c>
      <c r="C17" s="13" t="s">
        <v>341</v>
      </c>
      <c r="D17" s="14">
        <v>1000</v>
      </c>
    </row>
    <row r="18" s="1" customFormat="true" ht="20.1" customHeight="true" spans="1:4">
      <c r="A18" s="12">
        <v>15</v>
      </c>
      <c r="B18" s="13" t="s">
        <v>624</v>
      </c>
      <c r="C18" s="13" t="s">
        <v>340</v>
      </c>
      <c r="D18" s="14">
        <v>1500</v>
      </c>
    </row>
    <row r="19" s="1" customFormat="true" ht="20.1" customHeight="true" spans="1:4">
      <c r="A19" s="12">
        <v>16</v>
      </c>
      <c r="B19" s="13" t="s">
        <v>622</v>
      </c>
      <c r="C19" s="13" t="s">
        <v>361</v>
      </c>
      <c r="D19" s="14">
        <v>700</v>
      </c>
    </row>
    <row r="20" s="3" customFormat="true" ht="20.1" customHeight="true" spans="1:4">
      <c r="A20" s="15"/>
      <c r="B20" s="16" t="s">
        <v>625</v>
      </c>
      <c r="C20" s="17"/>
      <c r="D20" s="18">
        <f>SUM(D4:D19)</f>
        <v>18516</v>
      </c>
    </row>
    <row r="21" s="1" customFormat="true" ht="20.1" customHeight="true" spans="1:4">
      <c r="A21" s="14">
        <v>1</v>
      </c>
      <c r="B21" s="13" t="s">
        <v>626</v>
      </c>
      <c r="C21" s="13" t="s">
        <v>510</v>
      </c>
      <c r="D21" s="14">
        <v>20000</v>
      </c>
    </row>
    <row r="22" s="1" customFormat="true" ht="20.1" customHeight="true" spans="1:4">
      <c r="A22" s="14">
        <v>2</v>
      </c>
      <c r="B22" s="13" t="s">
        <v>627</v>
      </c>
      <c r="C22" s="13" t="s">
        <v>511</v>
      </c>
      <c r="D22" s="14">
        <v>24000</v>
      </c>
    </row>
    <row r="23" s="1" customFormat="true" ht="20.1" customHeight="true" spans="1:4">
      <c r="A23" s="14">
        <v>3</v>
      </c>
      <c r="B23" s="13" t="s">
        <v>623</v>
      </c>
      <c r="C23" s="13" t="s">
        <v>512</v>
      </c>
      <c r="D23" s="14">
        <v>1920</v>
      </c>
    </row>
    <row r="24" s="1" customFormat="true" ht="20.1" customHeight="true" spans="1:4">
      <c r="A24" s="14">
        <v>4</v>
      </c>
      <c r="B24" s="13" t="s">
        <v>628</v>
      </c>
      <c r="C24" s="13" t="s">
        <v>513</v>
      </c>
      <c r="D24" s="14">
        <v>50000</v>
      </c>
    </row>
    <row r="25" s="1" customFormat="true" ht="20.1" customHeight="true" spans="1:4">
      <c r="A25" s="14">
        <v>5</v>
      </c>
      <c r="B25" s="13" t="s">
        <v>626</v>
      </c>
      <c r="C25" s="13" t="s">
        <v>514</v>
      </c>
      <c r="D25" s="14">
        <v>20000</v>
      </c>
    </row>
    <row r="26" s="1" customFormat="true" ht="20.1" customHeight="true" spans="1:4">
      <c r="A26" s="14">
        <v>6</v>
      </c>
      <c r="B26" s="13" t="s">
        <v>627</v>
      </c>
      <c r="C26" s="13" t="s">
        <v>515</v>
      </c>
      <c r="D26" s="14">
        <v>12000</v>
      </c>
    </row>
    <row r="27" s="1" customFormat="true" ht="44" customHeight="true" spans="1:4">
      <c r="A27" s="14">
        <v>7</v>
      </c>
      <c r="B27" s="13" t="s">
        <v>629</v>
      </c>
      <c r="C27" s="19" t="s">
        <v>516</v>
      </c>
      <c r="D27" s="14">
        <v>8000</v>
      </c>
    </row>
    <row r="28" s="1" customFormat="true" ht="20.1" customHeight="true" spans="1:4">
      <c r="A28" s="14">
        <v>8</v>
      </c>
      <c r="B28" s="13" t="s">
        <v>630</v>
      </c>
      <c r="C28" s="13" t="s">
        <v>517</v>
      </c>
      <c r="D28" s="14">
        <v>10000</v>
      </c>
    </row>
    <row r="29" s="1" customFormat="true" ht="20.1" customHeight="true" spans="1:4">
      <c r="A29" s="14">
        <v>9</v>
      </c>
      <c r="B29" s="13" t="s">
        <v>631</v>
      </c>
      <c r="C29" s="13" t="s">
        <v>518</v>
      </c>
      <c r="D29" s="14">
        <v>10100</v>
      </c>
    </row>
    <row r="30" s="1" customFormat="true" ht="20.1" customHeight="true" spans="1:4">
      <c r="A30" s="14">
        <v>10</v>
      </c>
      <c r="B30" s="13" t="s">
        <v>632</v>
      </c>
      <c r="C30" s="13" t="s">
        <v>519</v>
      </c>
      <c r="D30" s="14">
        <v>1100</v>
      </c>
    </row>
    <row r="31" s="1" customFormat="true" ht="20.1" customHeight="true" spans="1:4">
      <c r="A31" s="14">
        <v>11</v>
      </c>
      <c r="B31" s="13" t="s">
        <v>633</v>
      </c>
      <c r="C31" s="13" t="s">
        <v>520</v>
      </c>
      <c r="D31" s="14">
        <v>1540</v>
      </c>
    </row>
    <row r="32" s="1" customFormat="true" ht="20.1" customHeight="true" spans="1:4">
      <c r="A32" s="14">
        <v>12</v>
      </c>
      <c r="B32" s="13" t="s">
        <v>632</v>
      </c>
      <c r="C32" s="13" t="s">
        <v>521</v>
      </c>
      <c r="D32" s="14">
        <v>6400</v>
      </c>
    </row>
    <row r="33" s="1" customFormat="true" ht="20.1" customHeight="true" spans="1:4">
      <c r="A33" s="14">
        <v>13</v>
      </c>
      <c r="B33" s="13" t="s">
        <v>629</v>
      </c>
      <c r="C33" s="13" t="s">
        <v>522</v>
      </c>
      <c r="D33" s="14">
        <v>10000</v>
      </c>
    </row>
    <row r="34" s="1" customFormat="true" ht="20.1" customHeight="true" spans="1:4">
      <c r="A34" s="14">
        <v>14</v>
      </c>
      <c r="B34" s="13" t="s">
        <v>634</v>
      </c>
      <c r="C34" s="13" t="s">
        <v>523</v>
      </c>
      <c r="D34" s="14">
        <v>840</v>
      </c>
    </row>
    <row r="35" s="1" customFormat="true" ht="20.1" customHeight="true" spans="1:4">
      <c r="A35" s="14">
        <v>15</v>
      </c>
      <c r="B35" s="13" t="s">
        <v>626</v>
      </c>
      <c r="C35" s="13" t="s">
        <v>524</v>
      </c>
      <c r="D35" s="14">
        <v>18400</v>
      </c>
    </row>
    <row r="36" s="1" customFormat="true" ht="36" spans="1:4">
      <c r="A36" s="14">
        <v>16</v>
      </c>
      <c r="B36" s="13" t="s">
        <v>635</v>
      </c>
      <c r="C36" s="19" t="s">
        <v>525</v>
      </c>
      <c r="D36" s="14">
        <v>14000</v>
      </c>
    </row>
    <row r="37" s="1" customFormat="true" ht="20.1" customHeight="true" spans="1:4">
      <c r="A37" s="14">
        <v>17</v>
      </c>
      <c r="B37" s="13" t="s">
        <v>636</v>
      </c>
      <c r="C37" s="13" t="s">
        <v>526</v>
      </c>
      <c r="D37" s="14">
        <v>1000</v>
      </c>
    </row>
    <row r="38" s="1" customFormat="true" ht="20.1" customHeight="true" spans="1:4">
      <c r="A38" s="14">
        <v>18</v>
      </c>
      <c r="B38" s="13" t="s">
        <v>637</v>
      </c>
      <c r="C38" s="13" t="s">
        <v>527</v>
      </c>
      <c r="D38" s="14">
        <v>6300</v>
      </c>
    </row>
    <row r="39" s="1" customFormat="true" ht="20.1" customHeight="true" spans="1:4">
      <c r="A39" s="14">
        <v>19</v>
      </c>
      <c r="B39" s="13" t="s">
        <v>629</v>
      </c>
      <c r="C39" s="13" t="s">
        <v>528</v>
      </c>
      <c r="D39" s="14">
        <v>1300</v>
      </c>
    </row>
    <row r="40" s="1" customFormat="true" ht="20.1" customHeight="true" spans="1:4">
      <c r="A40" s="14">
        <v>20</v>
      </c>
      <c r="B40" s="13" t="s">
        <v>634</v>
      </c>
      <c r="C40" s="13" t="s">
        <v>529</v>
      </c>
      <c r="D40" s="14">
        <v>700</v>
      </c>
    </row>
    <row r="41" s="1" customFormat="true" ht="20.1" customHeight="true" spans="1:4">
      <c r="A41" s="14">
        <v>21</v>
      </c>
      <c r="B41" s="13" t="s">
        <v>638</v>
      </c>
      <c r="C41" s="13" t="s">
        <v>530</v>
      </c>
      <c r="D41" s="14">
        <v>2250</v>
      </c>
    </row>
    <row r="42" s="1" customFormat="true" ht="20.1" customHeight="true" spans="1:4">
      <c r="A42" s="14">
        <v>22</v>
      </c>
      <c r="B42" s="13" t="s">
        <v>639</v>
      </c>
      <c r="C42" s="13" t="s">
        <v>531</v>
      </c>
      <c r="D42" s="14">
        <v>4140</v>
      </c>
    </row>
    <row r="43" s="1" customFormat="true" ht="20.1" customHeight="true" spans="1:4">
      <c r="A43" s="14">
        <v>23</v>
      </c>
      <c r="B43" s="13" t="s">
        <v>640</v>
      </c>
      <c r="C43" s="13" t="s">
        <v>532</v>
      </c>
      <c r="D43" s="14">
        <v>3375</v>
      </c>
    </row>
    <row r="44" s="1" customFormat="true" ht="20.1" customHeight="true" spans="1:4">
      <c r="A44" s="14">
        <v>24</v>
      </c>
      <c r="B44" s="13" t="s">
        <v>641</v>
      </c>
      <c r="C44" s="13" t="s">
        <v>533</v>
      </c>
      <c r="D44" s="14">
        <v>2800</v>
      </c>
    </row>
    <row r="45" s="1" customFormat="true" ht="20.1" customHeight="true" spans="1:4">
      <c r="A45" s="14">
        <v>25</v>
      </c>
      <c r="B45" s="13" t="s">
        <v>630</v>
      </c>
      <c r="C45" s="13" t="s">
        <v>534</v>
      </c>
      <c r="D45" s="14">
        <v>1000</v>
      </c>
    </row>
    <row r="46" s="1" customFormat="true" ht="20.1" customHeight="true" spans="1:4">
      <c r="A46" s="14">
        <v>26</v>
      </c>
      <c r="B46" s="13" t="s">
        <v>642</v>
      </c>
      <c r="C46" s="13" t="s">
        <v>535</v>
      </c>
      <c r="D46" s="14">
        <v>7500</v>
      </c>
    </row>
    <row r="47" s="1" customFormat="true" ht="20.1" customHeight="true" spans="1:4">
      <c r="A47" s="14">
        <v>27</v>
      </c>
      <c r="B47" s="13" t="s">
        <v>624</v>
      </c>
      <c r="C47" s="13" t="s">
        <v>536</v>
      </c>
      <c r="D47" s="14">
        <v>7000</v>
      </c>
    </row>
    <row r="48" s="4" customFormat="true" ht="36" spans="1:16384">
      <c r="A48" s="20">
        <v>28</v>
      </c>
      <c r="B48" s="19" t="s">
        <v>643</v>
      </c>
      <c r="C48" s="19" t="s">
        <v>537</v>
      </c>
      <c r="D48" s="20">
        <v>8500</v>
      </c>
      <c r="XEX48" s="23"/>
      <c r="XEY48" s="23"/>
      <c r="XEZ48" s="23"/>
      <c r="XFA48" s="23"/>
      <c r="XFB48" s="23"/>
      <c r="XFC48" s="23"/>
      <c r="XFD48" s="23"/>
    </row>
    <row r="49" s="1" customFormat="true" ht="20.1" customHeight="true" spans="1:4">
      <c r="A49" s="14">
        <v>29</v>
      </c>
      <c r="B49" s="13" t="s">
        <v>644</v>
      </c>
      <c r="C49" s="13" t="s">
        <v>538</v>
      </c>
      <c r="D49" s="14">
        <v>2000</v>
      </c>
    </row>
    <row r="50" s="1" customFormat="true" ht="20.1" customHeight="true" spans="1:4">
      <c r="A50" s="14">
        <v>30</v>
      </c>
      <c r="B50" s="13" t="s">
        <v>630</v>
      </c>
      <c r="C50" s="13" t="s">
        <v>539</v>
      </c>
      <c r="D50" s="14">
        <v>1101</v>
      </c>
    </row>
    <row r="51" s="1" customFormat="true" ht="20.1" customHeight="true" spans="1:4">
      <c r="A51" s="14">
        <v>31</v>
      </c>
      <c r="B51" s="13" t="s">
        <v>624</v>
      </c>
      <c r="C51" s="13" t="s">
        <v>540</v>
      </c>
      <c r="D51" s="14">
        <v>4600</v>
      </c>
    </row>
    <row r="52" s="1" customFormat="true" ht="20.1" customHeight="true" spans="1:4">
      <c r="A52" s="14">
        <v>32</v>
      </c>
      <c r="B52" s="13" t="s">
        <v>645</v>
      </c>
      <c r="C52" s="13" t="s">
        <v>541</v>
      </c>
      <c r="D52" s="14">
        <v>8500</v>
      </c>
    </row>
    <row r="53" s="1" customFormat="true" ht="20.1" customHeight="true" spans="1:4">
      <c r="A53" s="14">
        <v>33</v>
      </c>
      <c r="B53" s="13" t="s">
        <v>646</v>
      </c>
      <c r="C53" s="13" t="s">
        <v>542</v>
      </c>
      <c r="D53" s="14">
        <v>1200</v>
      </c>
    </row>
    <row r="54" s="1" customFormat="true" ht="20.1" customHeight="true" spans="1:4">
      <c r="A54" s="14">
        <v>34</v>
      </c>
      <c r="B54" s="13" t="s">
        <v>638</v>
      </c>
      <c r="C54" s="13" t="s">
        <v>543</v>
      </c>
      <c r="D54" s="14">
        <v>2000</v>
      </c>
    </row>
    <row r="55" s="1" customFormat="true" ht="20.1" customHeight="true" spans="1:4">
      <c r="A55" s="14">
        <v>35</v>
      </c>
      <c r="B55" s="13" t="s">
        <v>647</v>
      </c>
      <c r="C55" s="13" t="s">
        <v>544</v>
      </c>
      <c r="D55" s="14">
        <v>6000</v>
      </c>
    </row>
    <row r="56" s="1" customFormat="true" ht="20.1" customHeight="true" spans="1:4">
      <c r="A56" s="14">
        <v>36</v>
      </c>
      <c r="B56" s="13" t="s">
        <v>647</v>
      </c>
      <c r="C56" s="13" t="s">
        <v>545</v>
      </c>
      <c r="D56" s="14">
        <v>700</v>
      </c>
    </row>
    <row r="57" s="1" customFormat="true" ht="20.1" customHeight="true" spans="1:4">
      <c r="A57" s="14">
        <v>37</v>
      </c>
      <c r="B57" s="13" t="s">
        <v>648</v>
      </c>
      <c r="C57" s="13" t="s">
        <v>546</v>
      </c>
      <c r="D57" s="14">
        <v>2500</v>
      </c>
    </row>
    <row r="58" s="1" customFormat="true" ht="20.1" customHeight="true" spans="1:4">
      <c r="A58" s="14">
        <v>38</v>
      </c>
      <c r="B58" s="13" t="s">
        <v>649</v>
      </c>
      <c r="C58" s="13" t="s">
        <v>547</v>
      </c>
      <c r="D58" s="14">
        <v>1000</v>
      </c>
    </row>
    <row r="59" s="1" customFormat="true" ht="20.1" customHeight="true" spans="1:4">
      <c r="A59" s="14">
        <v>39</v>
      </c>
      <c r="B59" s="13" t="s">
        <v>650</v>
      </c>
      <c r="C59" s="13" t="s">
        <v>548</v>
      </c>
      <c r="D59" s="14">
        <v>4000</v>
      </c>
    </row>
    <row r="60" s="1" customFormat="true" ht="20.1" customHeight="true" spans="1:4">
      <c r="A60" s="14">
        <v>40</v>
      </c>
      <c r="B60" s="13" t="s">
        <v>650</v>
      </c>
      <c r="C60" s="13" t="s">
        <v>549</v>
      </c>
      <c r="D60" s="14">
        <v>6000</v>
      </c>
    </row>
    <row r="61" s="1" customFormat="true" ht="20.1" customHeight="true" spans="1:4">
      <c r="A61" s="14">
        <v>41</v>
      </c>
      <c r="B61" s="13" t="s">
        <v>650</v>
      </c>
      <c r="C61" s="13" t="s">
        <v>550</v>
      </c>
      <c r="D61" s="14">
        <v>3000</v>
      </c>
    </row>
    <row r="62" s="1" customFormat="true" ht="20.1" customHeight="true" spans="1:4">
      <c r="A62" s="14">
        <v>42</v>
      </c>
      <c r="B62" s="13" t="s">
        <v>632</v>
      </c>
      <c r="C62" s="13" t="s">
        <v>551</v>
      </c>
      <c r="D62" s="14">
        <v>6800</v>
      </c>
    </row>
    <row r="63" s="1" customFormat="true" ht="20.1" customHeight="true" spans="1:16384">
      <c r="A63" s="14">
        <v>43</v>
      </c>
      <c r="B63" s="13" t="s">
        <v>650</v>
      </c>
      <c r="C63" s="13" t="s">
        <v>550</v>
      </c>
      <c r="D63" s="14">
        <v>27000</v>
      </c>
      <c r="XEX63" s="7"/>
      <c r="XEY63" s="7"/>
      <c r="XEZ63" s="7"/>
      <c r="XFA63" s="7"/>
      <c r="XFB63" s="7"/>
      <c r="XFC63" s="7"/>
      <c r="XFD63" s="7"/>
    </row>
    <row r="64" s="1" customFormat="true" ht="20.1" customHeight="true" spans="1:4">
      <c r="A64" s="14">
        <v>44</v>
      </c>
      <c r="B64" s="13" t="s">
        <v>630</v>
      </c>
      <c r="C64" s="13" t="s">
        <v>552</v>
      </c>
      <c r="D64" s="14">
        <v>25000</v>
      </c>
    </row>
    <row r="65" s="1" customFormat="true" ht="20.1" customHeight="true" spans="1:4">
      <c r="A65" s="14">
        <v>45</v>
      </c>
      <c r="B65" s="13" t="s">
        <v>651</v>
      </c>
      <c r="C65" s="13" t="s">
        <v>553</v>
      </c>
      <c r="D65" s="14">
        <v>1600</v>
      </c>
    </row>
    <row r="66" s="1" customFormat="true" ht="20.1" customHeight="true" spans="1:4">
      <c r="A66" s="14">
        <v>46</v>
      </c>
      <c r="B66" s="13" t="s">
        <v>651</v>
      </c>
      <c r="C66" s="13" t="s">
        <v>554</v>
      </c>
      <c r="D66" s="14">
        <v>2700</v>
      </c>
    </row>
    <row r="67" s="1" customFormat="true" ht="20.1" customHeight="true" spans="1:4">
      <c r="A67" s="14">
        <v>47</v>
      </c>
      <c r="B67" s="13" t="s">
        <v>652</v>
      </c>
      <c r="C67" s="13" t="s">
        <v>529</v>
      </c>
      <c r="D67" s="14">
        <v>1000</v>
      </c>
    </row>
    <row r="68" s="1" customFormat="true" ht="20.1" customHeight="true" spans="1:4">
      <c r="A68" s="14">
        <v>48</v>
      </c>
      <c r="B68" s="13" t="s">
        <v>632</v>
      </c>
      <c r="C68" s="13" t="s">
        <v>555</v>
      </c>
      <c r="D68" s="14">
        <v>8300</v>
      </c>
    </row>
    <row r="69" s="1" customFormat="true" ht="20.1" customHeight="true" spans="1:4">
      <c r="A69" s="14">
        <v>49</v>
      </c>
      <c r="B69" s="13" t="s">
        <v>650</v>
      </c>
      <c r="C69" s="13" t="s">
        <v>556</v>
      </c>
      <c r="D69" s="14">
        <v>3200</v>
      </c>
    </row>
    <row r="70" s="1" customFormat="true" ht="20.1" customHeight="true" spans="1:4">
      <c r="A70" s="14">
        <v>50</v>
      </c>
      <c r="B70" s="13" t="s">
        <v>631</v>
      </c>
      <c r="C70" s="13" t="s">
        <v>557</v>
      </c>
      <c r="D70" s="14">
        <v>3000</v>
      </c>
    </row>
    <row r="71" s="1" customFormat="true" ht="20.1" customHeight="true" spans="1:4">
      <c r="A71" s="14">
        <v>51</v>
      </c>
      <c r="B71" s="13" t="s">
        <v>643</v>
      </c>
      <c r="C71" s="13" t="s">
        <v>558</v>
      </c>
      <c r="D71" s="14">
        <v>4000</v>
      </c>
    </row>
    <row r="72" s="1" customFormat="true" ht="20.1" customHeight="true" spans="1:4">
      <c r="A72" s="14">
        <v>52</v>
      </c>
      <c r="B72" s="13" t="s">
        <v>638</v>
      </c>
      <c r="C72" s="13" t="s">
        <v>530</v>
      </c>
      <c r="D72" s="14">
        <v>6000</v>
      </c>
    </row>
    <row r="73" s="1" customFormat="true" ht="20.1" customHeight="true" spans="1:4">
      <c r="A73" s="14">
        <v>53</v>
      </c>
      <c r="B73" s="13" t="s">
        <v>646</v>
      </c>
      <c r="C73" s="13" t="s">
        <v>542</v>
      </c>
      <c r="D73" s="14">
        <v>2400</v>
      </c>
    </row>
    <row r="74" s="1" customFormat="true" ht="20.1" customHeight="true" spans="1:4">
      <c r="A74" s="14">
        <v>54</v>
      </c>
      <c r="B74" s="13" t="s">
        <v>632</v>
      </c>
      <c r="C74" s="13" t="s">
        <v>559</v>
      </c>
      <c r="D74" s="14">
        <v>1632</v>
      </c>
    </row>
    <row r="75" s="1" customFormat="true" ht="20.1" customHeight="true" spans="1:4">
      <c r="A75" s="14">
        <v>55</v>
      </c>
      <c r="B75" s="13" t="s">
        <v>653</v>
      </c>
      <c r="C75" s="13" t="s">
        <v>560</v>
      </c>
      <c r="D75" s="14">
        <v>612</v>
      </c>
    </row>
    <row r="76" s="5" customFormat="true" ht="20.1" customHeight="true" spans="1:4">
      <c r="A76" s="24"/>
      <c r="B76" s="25" t="s">
        <v>654</v>
      </c>
      <c r="C76" s="26"/>
      <c r="D76" s="27">
        <f>SUM(D21:D75)</f>
        <v>390010</v>
      </c>
    </row>
    <row r="77" s="1" customFormat="true" ht="20.1" customHeight="true" spans="1:4">
      <c r="A77" s="12"/>
      <c r="B77" s="28" t="s">
        <v>655</v>
      </c>
      <c r="C77" s="29" t="s">
        <v>603</v>
      </c>
      <c r="D77" s="14">
        <v>10000</v>
      </c>
    </row>
    <row r="78" s="1" customFormat="true" ht="20.1" customHeight="true" spans="1:4">
      <c r="A78" s="12"/>
      <c r="B78" s="28" t="s">
        <v>655</v>
      </c>
      <c r="C78" s="29" t="s">
        <v>656</v>
      </c>
      <c r="D78" s="14">
        <v>1500</v>
      </c>
    </row>
    <row r="79" s="1" customFormat="true" ht="20.1" customHeight="true" spans="1:4">
      <c r="A79" s="12"/>
      <c r="B79" s="28" t="s">
        <v>655</v>
      </c>
      <c r="C79" s="29" t="s">
        <v>604</v>
      </c>
      <c r="D79" s="14">
        <v>1200</v>
      </c>
    </row>
    <row r="80" s="1" customFormat="true" ht="20.1" customHeight="true" spans="1:4">
      <c r="A80" s="12"/>
      <c r="B80" s="28" t="s">
        <v>655</v>
      </c>
      <c r="C80" s="29" t="s">
        <v>605</v>
      </c>
      <c r="D80" s="14">
        <v>1300</v>
      </c>
    </row>
    <row r="81" s="1" customFormat="true" ht="20.1" customHeight="true" spans="1:4">
      <c r="A81" s="12"/>
      <c r="B81" s="28" t="s">
        <v>655</v>
      </c>
      <c r="C81" s="29" t="s">
        <v>592</v>
      </c>
      <c r="D81" s="14">
        <v>21350</v>
      </c>
    </row>
    <row r="82" s="1" customFormat="true" ht="20.1" customHeight="true" spans="1:4">
      <c r="A82" s="12"/>
      <c r="B82" s="28" t="s">
        <v>655</v>
      </c>
      <c r="C82" s="29" t="s">
        <v>597</v>
      </c>
      <c r="D82" s="14">
        <v>33600</v>
      </c>
    </row>
    <row r="83" s="1" customFormat="true" ht="20.1" customHeight="true" spans="1:4">
      <c r="A83" s="12"/>
      <c r="B83" s="28" t="s">
        <v>655</v>
      </c>
      <c r="C83" s="29" t="s">
        <v>595</v>
      </c>
      <c r="D83" s="14">
        <v>7200</v>
      </c>
    </row>
    <row r="84" s="1" customFormat="true" ht="20.1" customHeight="true" spans="1:4">
      <c r="A84" s="12"/>
      <c r="B84" s="28" t="s">
        <v>655</v>
      </c>
      <c r="C84" s="29" t="s">
        <v>599</v>
      </c>
      <c r="D84" s="14">
        <v>2800</v>
      </c>
    </row>
    <row r="85" s="1" customFormat="true" ht="20.1" customHeight="true" spans="1:4">
      <c r="A85" s="12"/>
      <c r="B85" s="28" t="s">
        <v>655</v>
      </c>
      <c r="C85" s="29" t="s">
        <v>601</v>
      </c>
      <c r="D85" s="14">
        <v>14450</v>
      </c>
    </row>
    <row r="86" s="1" customFormat="true" ht="20.1" customHeight="true" spans="1:4">
      <c r="A86" s="12"/>
      <c r="B86" s="28" t="s">
        <v>655</v>
      </c>
      <c r="C86" s="29" t="s">
        <v>602</v>
      </c>
      <c r="D86" s="14">
        <v>5000</v>
      </c>
    </row>
    <row r="87" s="1" customFormat="true" ht="20.1" customHeight="true" spans="1:4">
      <c r="A87" s="12"/>
      <c r="B87" s="28" t="s">
        <v>655</v>
      </c>
      <c r="C87" s="29" t="s">
        <v>600</v>
      </c>
      <c r="D87" s="14">
        <v>7280</v>
      </c>
    </row>
    <row r="88" s="1" customFormat="true" ht="20.1" customHeight="true" spans="1:4">
      <c r="A88" s="12"/>
      <c r="B88" s="28" t="s">
        <v>655</v>
      </c>
      <c r="C88" s="29" t="s">
        <v>598</v>
      </c>
      <c r="D88" s="14">
        <v>4900</v>
      </c>
    </row>
    <row r="89" s="1" customFormat="true" ht="20.1" hidden="true" customHeight="true" spans="1:4">
      <c r="A89" s="12"/>
      <c r="B89" s="30"/>
      <c r="C89" s="26"/>
      <c r="D89" s="12"/>
    </row>
    <row r="90" s="1" customFormat="true" ht="20.1" customHeight="true" spans="1:4">
      <c r="A90" s="12"/>
      <c r="B90" s="31" t="s">
        <v>657</v>
      </c>
      <c r="C90" s="26"/>
      <c r="D90" s="27">
        <f>SUM(D77:D89)</f>
        <v>110580</v>
      </c>
    </row>
    <row r="91" s="3" customFormat="true" ht="20.1" customHeight="true" spans="1:4">
      <c r="A91" s="15"/>
      <c r="B91" s="15" t="s">
        <v>658</v>
      </c>
      <c r="C91" s="32"/>
      <c r="D91" s="18">
        <f>D76+D90</f>
        <v>500590</v>
      </c>
    </row>
  </sheetData>
  <mergeCells count="2">
    <mergeCell ref="A1:D1"/>
    <mergeCell ref="A2:B2"/>
  </mergeCells>
  <pageMargins left="0.751388888888889" right="0.751388888888889" top="1" bottom="1" header="0.5" footer="0.5"/>
  <pageSetup paperSize="9" firstPageNumber="29" fitToHeight="0" orientation="landscape" useFirstPageNumber="tru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附表1收入调整表2024</vt:lpstr>
      <vt:lpstr>附表2财力调整表2024</vt:lpstr>
      <vt:lpstr>附表3公共预算项目调整表</vt:lpstr>
      <vt:lpstr>附表4公共预算支出调整表</vt:lpstr>
      <vt:lpstr>附表5政府性基金项目调整表</vt:lpstr>
      <vt:lpstr>附表6政府性基金支出调整表</vt:lpstr>
      <vt:lpstr>附表7债券资金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qyh2015</dc:creator>
  <cp:lastModifiedBy>gwa</cp:lastModifiedBy>
  <dcterms:created xsi:type="dcterms:W3CDTF">2016-10-31T14:35:00Z</dcterms:created>
  <cp:lastPrinted>2019-11-25T22:45:00Z</cp:lastPrinted>
  <dcterms:modified xsi:type="dcterms:W3CDTF">2025-02-21T17:06:52Z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2052-11.8.2.10552</vt:lpwstr>
  </property>
  <property fmtid="{D5CDD505-2E9C-101B-9397-08002B2CF9AE}" pid="4" name="ICV">
    <vt:lpwstr>7F6EEC2E1A104D6EAA164BD97D6FB191</vt:lpwstr>
  </property>
</Properties>
</file>